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9600" firstSheet="1" activeTab="1"/>
  </bookViews>
  <sheets>
    <sheet name="emformular" sheetId="1" state="veryHidden" r:id="rId1"/>
    <sheet name="Vorrunde" sheetId="2" r:id="rId2"/>
    <sheet name="KO-Runde" sheetId="3" r:id="rId3"/>
    <sheet name="Extratipps" sheetId="4" r:id="rId4"/>
  </sheets>
  <definedNames>
    <definedName name="auswahl_emw">OFFSET('KO-Runde'!$AA$1,'KO-Runde'!$AE$15,0,'KO-Runde'!$AE$16,1)</definedName>
    <definedName name="_xlnm.Print_Area" localSheetId="3">'Extratipps'!$B$1:$N$53</definedName>
    <definedName name="_xlnm.Print_Area" localSheetId="2">'KO-Runde'!$B$2:$U$34</definedName>
    <definedName name="_xlnm.Print_Area" localSheetId="1">'Vorrunde'!$B$2:$AI$48</definedName>
    <definedName name="dvmodus">'Vorrunde'!$BN$3</definedName>
    <definedName name="faktoren">'Vorrunde'!$BR$3:$BY$3</definedName>
    <definedName name="teams">'Vorrunde'!$CR$2:$CR$17</definedName>
    <definedName name="teams_kurz">'Vorrunde'!$CS$2:$CS$17</definedName>
    <definedName name="teams_lang">'Vorrunde'!$CR$2:$CR$17</definedName>
  </definedNames>
  <calcPr calcMode="manual" fullCalcOnLoad="1"/>
</workbook>
</file>

<file path=xl/sharedStrings.xml><?xml version="1.0" encoding="utf-8"?>
<sst xmlns="http://schemas.openxmlformats.org/spreadsheetml/2006/main" count="1286" uniqueCount="973">
  <si>
    <t>DVmodus</t>
  </si>
  <si>
    <t>Faktoren</t>
  </si>
  <si>
    <t>A</t>
  </si>
  <si>
    <t>Tabelle nach Spieltag 2</t>
  </si>
  <si>
    <t>Sp.</t>
  </si>
  <si>
    <t>Tore</t>
  </si>
  <si>
    <t>Diff.</t>
  </si>
  <si>
    <t>P</t>
  </si>
  <si>
    <t>Spielplan</t>
  </si>
  <si>
    <t>Paarung</t>
  </si>
  <si>
    <t>HTo</t>
  </si>
  <si>
    <t>ATo</t>
  </si>
  <si>
    <t>PktH</t>
  </si>
  <si>
    <t>PktA</t>
  </si>
  <si>
    <t>Matches</t>
  </si>
  <si>
    <t>DVP</t>
  </si>
  <si>
    <t>DVT</t>
  </si>
  <si>
    <t>DVGT</t>
  </si>
  <si>
    <t>GT</t>
  </si>
  <si>
    <t>Dif</t>
  </si>
  <si>
    <t>Wert P,Dif, T</t>
  </si>
  <si>
    <t>Rang</t>
  </si>
  <si>
    <t>DV</t>
  </si>
  <si>
    <t>EMS</t>
  </si>
  <si>
    <t>Wert +DV+EMS</t>
  </si>
  <si>
    <t>Rang korr</t>
  </si>
  <si>
    <t>T</t>
  </si>
  <si>
    <t>Wert</t>
  </si>
  <si>
    <t>Letzte Paarungen</t>
  </si>
  <si>
    <t>Nr</t>
  </si>
  <si>
    <t>mögl. EMS</t>
  </si>
  <si>
    <t>Remis</t>
  </si>
  <si>
    <t>PDV</t>
  </si>
  <si>
    <t>TDV</t>
  </si>
  <si>
    <t>Dif DV</t>
  </si>
  <si>
    <t>DVSum</t>
  </si>
  <si>
    <t>Rangwert DV</t>
  </si>
  <si>
    <t>Tabelle</t>
  </si>
  <si>
    <t>Teamidx</t>
  </si>
  <si>
    <t>Zwang Rang</t>
  </si>
  <si>
    <t>Rang von Team 1</t>
  </si>
  <si>
    <t>Team 1</t>
  </si>
  <si>
    <t>Team 2</t>
  </si>
  <si>
    <t>EMS To1</t>
  </si>
  <si>
    <t>EMS To2</t>
  </si>
  <si>
    <t>Pkt</t>
  </si>
  <si>
    <t>idx5</t>
  </si>
  <si>
    <t>Rang von Team 2</t>
  </si>
  <si>
    <t>B</t>
  </si>
  <si>
    <t>idx6</t>
  </si>
  <si>
    <t>Rang von Team 3</t>
  </si>
  <si>
    <t>Rang von Team 4</t>
  </si>
  <si>
    <t>C</t>
  </si>
  <si>
    <t>D</t>
  </si>
  <si>
    <t>SCHWEIZ</t>
  </si>
  <si>
    <t>BOSNIEN-HERZIGOWINA</t>
  </si>
  <si>
    <t>MANNSCHAFT A3</t>
  </si>
  <si>
    <t>MANNSCHAFT A4</t>
  </si>
  <si>
    <t>Schweiz</t>
  </si>
  <si>
    <t>Österreich</t>
  </si>
  <si>
    <t>TIPPSPIEL  EM 2008</t>
  </si>
  <si>
    <t>Name:</t>
  </si>
  <si>
    <t>SUI</t>
  </si>
  <si>
    <t>AUT</t>
  </si>
  <si>
    <t>Sa., 07.06.2008, 18:00 Uhr</t>
  </si>
  <si>
    <t>BASEL</t>
  </si>
  <si>
    <t>Sa., 07.06.2008, 20:45 Uhr</t>
  </si>
  <si>
    <t>GENF</t>
  </si>
  <si>
    <t>Mi., 11.06.2008, 18:00 Uhr</t>
  </si>
  <si>
    <t>Mi., 11.06.2008, 20:45 Uhr</t>
  </si>
  <si>
    <t>So., 15.06.2008, 20:45 Uhr</t>
  </si>
  <si>
    <t>So., 08.06.2008, 18:00 Uhr</t>
  </si>
  <si>
    <t>WIEN</t>
  </si>
  <si>
    <t>So., 08.06.2008, 20:45 Uhr</t>
  </si>
  <si>
    <t>KLAGENFURT</t>
  </si>
  <si>
    <t>Do., 12.06.2008, 18:00 Uhr</t>
  </si>
  <si>
    <t>Do., 12.06.2008, 20:45 Uhr</t>
  </si>
  <si>
    <t>Mo., 16.06.2008, 20:45 Uhr</t>
  </si>
  <si>
    <t>Mo., 09.06.2008, 18:00 Uhr</t>
  </si>
  <si>
    <t>ZÜRICH</t>
  </si>
  <si>
    <t>Mo., 09.06.2008, 20:45 Uhr</t>
  </si>
  <si>
    <t>BERN</t>
  </si>
  <si>
    <t>Fr., 13.06.2008, 18:00 Uhr</t>
  </si>
  <si>
    <t>Fr., 13.06.2008, 20:45 Uhr</t>
  </si>
  <si>
    <t>Di., 17.06.2008, 20:45 Uhr</t>
  </si>
  <si>
    <t>Di., 10.06.2008, 18:00 Uhr</t>
  </si>
  <si>
    <t>INNSBRUCK</t>
  </si>
  <si>
    <t>Di., 10.06.2008, 20:45 Uhr</t>
  </si>
  <si>
    <t>SALZBURG</t>
  </si>
  <si>
    <t>Sa., 14.06.2008, 18:00 Uhr</t>
  </si>
  <si>
    <t>Sa., 14.06.2008, 20:45 Uhr</t>
  </si>
  <si>
    <t>Mi., 18.06.2008, 20:45 Uhr</t>
  </si>
  <si>
    <t>Tippspiel EM 2008</t>
  </si>
  <si>
    <t>VF1</t>
  </si>
  <si>
    <t>VF2</t>
  </si>
  <si>
    <t>VF3</t>
  </si>
  <si>
    <t>VF4</t>
  </si>
  <si>
    <t>HF1</t>
  </si>
  <si>
    <t>HF2</t>
  </si>
  <si>
    <t>Finale</t>
  </si>
  <si>
    <t>Tipp</t>
  </si>
  <si>
    <t>EMW</t>
  </si>
  <si>
    <t>1. Gr. A</t>
  </si>
  <si>
    <t>2. Gr. B</t>
  </si>
  <si>
    <t>1. Gr. B</t>
  </si>
  <si>
    <t>2. Gr. A</t>
  </si>
  <si>
    <t>1. Gr. C</t>
  </si>
  <si>
    <t>2. Gr. D</t>
  </si>
  <si>
    <t>1. Gr. D</t>
  </si>
  <si>
    <t>2. Gr. C</t>
  </si>
  <si>
    <t>S. VF 1</t>
  </si>
  <si>
    <t>S. VF 2</t>
  </si>
  <si>
    <t>S. VF 3</t>
  </si>
  <si>
    <t>S. VF 4</t>
  </si>
  <si>
    <t>S. HF 1</t>
  </si>
  <si>
    <t>S. HF 2</t>
  </si>
  <si>
    <t>Paarung allgemein</t>
  </si>
  <si>
    <t>tatsächliches Ergebnis</t>
  </si>
  <si>
    <t>KO-RUNDE</t>
  </si>
  <si>
    <t>TIPP</t>
  </si>
  <si>
    <t>Termin</t>
  </si>
  <si>
    <t>TIPPFORMULAR</t>
  </si>
  <si>
    <t>team</t>
  </si>
  <si>
    <t>Trend</t>
  </si>
  <si>
    <t>Wertungserg KO</t>
  </si>
  <si>
    <t>●</t>
  </si>
  <si>
    <t>Länge Auswahl</t>
  </si>
  <si>
    <t>EMW-Auswahlliste</t>
  </si>
  <si>
    <t>Offset Y</t>
  </si>
  <si>
    <t>Auswertung</t>
  </si>
  <si>
    <t>alle Tippen</t>
  </si>
  <si>
    <t>Offset X</t>
  </si>
  <si>
    <t>Anzahl</t>
  </si>
  <si>
    <t>Tippabgabe, wenn alle Tipps auf einmal abgegeben werden (Variante 2)</t>
  </si>
  <si>
    <t>Beim Import werden die abgegebenen Tipps den Paarungen zugeordnet, die sich im Turnier aus den Vorgaben in der Spalte "Paarung allgemein" ergeben.</t>
  </si>
  <si>
    <t>FEHLERHAFTE TIPPS  ( F )  werden beim Import ignoriert!</t>
  </si>
  <si>
    <t>Spiel</t>
  </si>
  <si>
    <t>Tipp EMW</t>
  </si>
  <si>
    <t>Offset</t>
  </si>
  <si>
    <t>Fehler</t>
  </si>
  <si>
    <t>resultierende 
Paarung
Team1 :  Team2</t>
  </si>
  <si>
    <t>In Abhängigkeit von den Tippspielregeln werden evtl. nur die Tipps von korrekt vorhergesagten KO-Paarungen gewertet!</t>
  </si>
  <si>
    <t>Beschreibung</t>
  </si>
  <si>
    <t>Bewertung</t>
  </si>
  <si>
    <t>Torschützenkönig (Spieler)</t>
  </si>
  <si>
    <t>Torschützenkönig (Land)</t>
  </si>
  <si>
    <t>Die meisten Tore fallen in Gruppe?</t>
  </si>
  <si>
    <t>Team mit den meisten Toren (GruRu)?</t>
  </si>
  <si>
    <t>Team mit den wenigsten Toren (GruRu)?</t>
  </si>
  <si>
    <t>Team mit den meisten Gegentoren (GruRu)?</t>
  </si>
  <si>
    <t>Team mit den wenigsten Gegentoren (GruRu)?</t>
  </si>
  <si>
    <t>Gruppensieger Gruppe ...  A</t>
  </si>
  <si>
    <t>Gruppensieger Gruppe ...  B</t>
  </si>
  <si>
    <t>Gruppensieger Gruppe ...  C</t>
  </si>
  <si>
    <t>Gruppensieger Gruppe ...  D</t>
  </si>
  <si>
    <t>Gruppenzweiter Gruppe ... A</t>
  </si>
  <si>
    <t>Gruppenzweiter Gruppe ... B</t>
  </si>
  <si>
    <t>Gruppenzweiter Gruppe ... C</t>
  </si>
  <si>
    <t>Gruppenzweiter Gruppe ... D</t>
  </si>
  <si>
    <t>Halbfinalisten</t>
  </si>
  <si>
    <t>Finalisten</t>
  </si>
  <si>
    <t>Wer wird Vize-Europameister</t>
  </si>
  <si>
    <t>Wer wird Europameister?</t>
  </si>
  <si>
    <t>Teams</t>
  </si>
  <si>
    <t>Spieler</t>
  </si>
  <si>
    <t>Runden</t>
  </si>
  <si>
    <t>GER</t>
  </si>
  <si>
    <t>Gruppenrunde</t>
  </si>
  <si>
    <t>Gruppe A</t>
  </si>
  <si>
    <t>Viertelfinale</t>
  </si>
  <si>
    <t>Gruppe B</t>
  </si>
  <si>
    <t>Halbfinale</t>
  </si>
  <si>
    <t>Gruppe C</t>
  </si>
  <si>
    <t>Gruppe D</t>
  </si>
  <si>
    <t>Gruppen</t>
  </si>
  <si>
    <t>Team</t>
  </si>
  <si>
    <t>GruA</t>
  </si>
  <si>
    <t>GruB</t>
  </si>
  <si>
    <t>GruC</t>
  </si>
  <si>
    <t>GruD</t>
  </si>
  <si>
    <t>Team mit den meisten Toren in der KO-Runde</t>
  </si>
  <si>
    <t>Die wenigsten Tore fallen in Gruppe?</t>
  </si>
  <si>
    <t>max</t>
  </si>
  <si>
    <t>Gruppe</t>
  </si>
  <si>
    <t>min</t>
  </si>
  <si>
    <t>max Tore Team</t>
  </si>
  <si>
    <t>min tore Team</t>
  </si>
  <si>
    <t>max GT Team</t>
  </si>
  <si>
    <t>min GT Team</t>
  </si>
  <si>
    <t>Viertelfinalisten nach Tipps</t>
  </si>
  <si>
    <t>Do., 19.06.2008,  20:45 Uhr</t>
  </si>
  <si>
    <t>Fr., 20.06.2008,  20:45 Uhr</t>
  </si>
  <si>
    <t>Sa., 21.06.2008,  20:45 Uhr</t>
  </si>
  <si>
    <t>So., 22.06.2008,  20:45 Uhr</t>
  </si>
  <si>
    <t>Mi., 25.06.2008,  20:45 Uhr</t>
  </si>
  <si>
    <t>Do., 26.06.2008,  20:45 Uhr</t>
  </si>
  <si>
    <t>So., 29.06.2008,  20:45 Uhr</t>
  </si>
  <si>
    <t>F</t>
  </si>
  <si>
    <t>als Gruppenzweiter</t>
  </si>
  <si>
    <t>als
Gruppensieger</t>
  </si>
  <si>
    <t>Tipps</t>
  </si>
  <si>
    <t>SpielNr</t>
  </si>
  <si>
    <t>Fehlerhafte Tipps werden nicht importiert!</t>
  </si>
  <si>
    <t>Tschechien</t>
  </si>
  <si>
    <t>Portugal</t>
  </si>
  <si>
    <t>Türkei</t>
  </si>
  <si>
    <t>Kroatien</t>
  </si>
  <si>
    <t>Deutschland</t>
  </si>
  <si>
    <t>Polen</t>
  </si>
  <si>
    <t>Niederlande</t>
  </si>
  <si>
    <t>Italien</t>
  </si>
  <si>
    <t>Rumänien</t>
  </si>
  <si>
    <t>Frankreich</t>
  </si>
  <si>
    <t>Griechenland</t>
  </si>
  <si>
    <t>Schweden</t>
  </si>
  <si>
    <t>Spanien</t>
  </si>
  <si>
    <t>Russland</t>
  </si>
  <si>
    <t>CZE</t>
  </si>
  <si>
    <t>POR</t>
  </si>
  <si>
    <t>TUR</t>
  </si>
  <si>
    <t>CRO</t>
  </si>
  <si>
    <t>POL</t>
  </si>
  <si>
    <t>NED</t>
  </si>
  <si>
    <t>ITA</t>
  </si>
  <si>
    <t>ROM</t>
  </si>
  <si>
    <t>FRA</t>
  </si>
  <si>
    <t>GRE</t>
  </si>
  <si>
    <t>SWE</t>
  </si>
  <si>
    <t>ESP</t>
  </si>
  <si>
    <t>RUS</t>
  </si>
  <si>
    <r>
      <t xml:space="preserve">Viertelfinalisten
</t>
    </r>
    <r>
      <rPr>
        <sz val="8"/>
        <color indexed="18"/>
        <rFont val="Tahoma"/>
        <family val="2"/>
      </rPr>
      <t>Bei diesem Tipp ist es unerheblich, 
ob ein Team als 1. oder 2. der Gruppe
in die KO-Runde einzieht.</t>
    </r>
  </si>
  <si>
    <t>reales Ergebnis</t>
  </si>
  <si>
    <t>Tabellenstände aus den Wertungsergebnissen für die Gruppenrunde</t>
  </si>
  <si>
    <t>Resultate der Wertungsergebnisse der Gruppenrunde</t>
  </si>
  <si>
    <t>NEU</t>
  </si>
  <si>
    <t>Diego BENAGLIO (SUI)</t>
  </si>
  <si>
    <t>[ 1 ] Diego BENAGLIO</t>
  </si>
  <si>
    <t>Eldin JAKUPOVIC (SUI)</t>
  </si>
  <si>
    <t>[21] Eldin JAKUPOVIC</t>
  </si>
  <si>
    <t>Pascal ZUBERBÜHLER (SUI)</t>
  </si>
  <si>
    <t>[18] Pascal ZUBERBÜHLER</t>
  </si>
  <si>
    <t>Philipp DEGEN (SUI)</t>
  </si>
  <si>
    <t>[23] Philipp DEGEN</t>
  </si>
  <si>
    <t>Johan DJOUROU (SUI)</t>
  </si>
  <si>
    <t>[ 2 ] Johan DJOUROU</t>
  </si>
  <si>
    <t>Stephane GRICHTING (SUI)</t>
  </si>
  <si>
    <t>[13] Stephane GRICHTING</t>
  </si>
  <si>
    <t>Stephan LICHTSTEINER (SUI)</t>
  </si>
  <si>
    <t>[ 5 ] Stephan LICHTSTEINER</t>
  </si>
  <si>
    <t>Ludovic MAGNIN (SUI)</t>
  </si>
  <si>
    <t>[ 3 ] Ludovic MAGNIN</t>
  </si>
  <si>
    <t>Patrick MÜLLER (SUI)</t>
  </si>
  <si>
    <t>[20] Patrick MÜLLER</t>
  </si>
  <si>
    <t>Philippe SENDEROS (SUI)</t>
  </si>
  <si>
    <t>[ 4 ] Philippe SENDEROS</t>
  </si>
  <si>
    <t>Christoph SPYCHER (SUI)</t>
  </si>
  <si>
    <t>[17] Christoph SPYCHER</t>
  </si>
  <si>
    <t>Tranquillo BARNETTA (SUI)</t>
  </si>
  <si>
    <t>[16] Tranquillo BARNETTA</t>
  </si>
  <si>
    <t>Valon BEHRAMI (SUI)</t>
  </si>
  <si>
    <t>[19] Valon BEHRAMI</t>
  </si>
  <si>
    <t>Ricardo CABANAS (SUI)</t>
  </si>
  <si>
    <t>[ 7 ] Ricardo CABANAS</t>
  </si>
  <si>
    <t>Gelson FERNANDES (SUI)</t>
  </si>
  <si>
    <t>[15] Gelson FERNANDES</t>
  </si>
  <si>
    <t>Daniel GYGAX (SUI)</t>
  </si>
  <si>
    <t>[14] Daniel GYGAX</t>
  </si>
  <si>
    <t>Benjamin HUGGEL (SUI)</t>
  </si>
  <si>
    <t>[ 6 ] Benjamin HUGGEL</t>
  </si>
  <si>
    <t>Gökhan INLER (SUI)</t>
  </si>
  <si>
    <t>[ 8 ] Gökhan INLER</t>
  </si>
  <si>
    <t>Johan VONLANTHEN (SUI)</t>
  </si>
  <si>
    <t>[22] Johan VONLANTHEN</t>
  </si>
  <si>
    <t>Eren DERDIYOK (SUI)</t>
  </si>
  <si>
    <t>[12] Eren DERDIYOK</t>
  </si>
  <si>
    <t>Alexander FREI (SUI)</t>
  </si>
  <si>
    <t>[ 9 ] Alexander FREI</t>
  </si>
  <si>
    <t>Marco STRELLER (SUI)</t>
  </si>
  <si>
    <t>[11] Marco STRELLER</t>
  </si>
  <si>
    <t>Hakan YAKIN (SUI)</t>
  </si>
  <si>
    <t>[10] Hakan YAKIN</t>
  </si>
  <si>
    <t>Jaromir BLAŽEK (CZE)</t>
  </si>
  <si>
    <t>[16] Jaromir BLAŽEK</t>
  </si>
  <si>
    <t>Petr ČECH (CZE)</t>
  </si>
  <si>
    <t>[ 1 ] Petr ČECH</t>
  </si>
  <si>
    <t>Daniel ZITKA (CZE)</t>
  </si>
  <si>
    <t>[23] Daniel ZITKA</t>
  </si>
  <si>
    <t>Zdeněk GRYGERA (CZE)</t>
  </si>
  <si>
    <t>[ 2 ] Zdeněk GRYGERA</t>
  </si>
  <si>
    <t>Marek JANKULOVSKI (CZE)</t>
  </si>
  <si>
    <t>[ 6 ] Marek JANKULOVSKI</t>
  </si>
  <si>
    <t>Michal KADLEC (CZE)</t>
  </si>
  <si>
    <t>[13] Michal KADLEC</t>
  </si>
  <si>
    <t>Radoslav KOVÁČ (CZE)</t>
  </si>
  <si>
    <t>[ 5 ] Radoslav KOVÁČ</t>
  </si>
  <si>
    <t>Zdeněk POSPĚCH (CZE)</t>
  </si>
  <si>
    <t>[12] Zdeněk POSPĚCH</t>
  </si>
  <si>
    <t>David ROZEHNAL (CZE)</t>
  </si>
  <si>
    <t>[22] David ROZEHNAL</t>
  </si>
  <si>
    <t>Tomáš SIVOK (CZE)</t>
  </si>
  <si>
    <t>[18] Tomáš SIVOK</t>
  </si>
  <si>
    <t>Tomáš UJFALUŠI (CZE)</t>
  </si>
  <si>
    <t>[21] Tomáš UJFALUŠI</t>
  </si>
  <si>
    <t>Tomáš GALÁSEK (CZE)</t>
  </si>
  <si>
    <t>[ 4 ] Tomáš GALÁSEK</t>
  </si>
  <si>
    <t>David JAROLIM (CZE)</t>
  </si>
  <si>
    <t>[14] David JAROLIM</t>
  </si>
  <si>
    <t>Marek MATĚJOVSKÝ (CZE)</t>
  </si>
  <si>
    <t>[17] Marek MATĚJOVSKÝ</t>
  </si>
  <si>
    <t>Jaroslav PLAŠIL (CZE)</t>
  </si>
  <si>
    <t>[20] Jaroslav PLAŠIL</t>
  </si>
  <si>
    <t>Jan POLÁK (CZE)</t>
  </si>
  <si>
    <t>[ 3 ] Jan POLÁK</t>
  </si>
  <si>
    <t>Rudolf SKÁCEL (CZE)</t>
  </si>
  <si>
    <t>[19] Rudolf SKÁCEL</t>
  </si>
  <si>
    <t>Milan BAROŠ (CZE)</t>
  </si>
  <si>
    <t>[15] Milan BAROŠ</t>
  </si>
  <si>
    <t>Martin FENIN (CZE)</t>
  </si>
  <si>
    <t>[ 8 ] Martin FENIN</t>
  </si>
  <si>
    <t>Jan KOLLER (CZE)</t>
  </si>
  <si>
    <t>[ 9 ] Jan KOLLER</t>
  </si>
  <si>
    <t>Libor SIONKO (CZE)</t>
  </si>
  <si>
    <t>[ 7 ] Libor SIONKO</t>
  </si>
  <si>
    <t>Václav SVĚRKOŠ (CZE)</t>
  </si>
  <si>
    <t>[10] Václav SVĚRKOŠ</t>
  </si>
  <si>
    <t>Stanislav VLČEK (CZE)</t>
  </si>
  <si>
    <t>[11] Stanislav VLČEK</t>
  </si>
  <si>
    <t>Rui PATRICIO  (POR)</t>
  </si>
  <si>
    <t xml:space="preserve">[22] Rui PATRICIO </t>
  </si>
  <si>
    <t>QUIM  (POR)</t>
  </si>
  <si>
    <t xml:space="preserve">[12] QUIM </t>
  </si>
  <si>
    <t>RICARDO  (POR)</t>
  </si>
  <si>
    <t xml:space="preserve">[ 1 ] RICARDO </t>
  </si>
  <si>
    <t>Bruno ALVES  (POR)</t>
  </si>
  <si>
    <t xml:space="preserve">[ 3 ] Bruno ALVES </t>
  </si>
  <si>
    <t>José BOSINGWA (POR)</t>
  </si>
  <si>
    <t>[ 4 ] José BOSINGWA</t>
  </si>
  <si>
    <t>Ricardo CARVALHO  (POR)</t>
  </si>
  <si>
    <t xml:space="preserve">[16] Ricardo CARVALHO </t>
  </si>
  <si>
    <t>Paulo FERREIRA  (POR)</t>
  </si>
  <si>
    <t xml:space="preserve">[ 2 ] Paulo FERREIRA </t>
  </si>
  <si>
    <t>Fernando MEIRA  (POR)</t>
  </si>
  <si>
    <t xml:space="preserve">[ 5 ] Fernando MEIRA </t>
  </si>
  <si>
    <t>MIGUEL  (POR)</t>
  </si>
  <si>
    <t xml:space="preserve">[13] MIGUEL </t>
  </si>
  <si>
    <t>PEPE  (POR)</t>
  </si>
  <si>
    <t xml:space="preserve">[15] PEPE </t>
  </si>
  <si>
    <t>Jorge RIBEIRO  (POR)</t>
  </si>
  <si>
    <t xml:space="preserve">[14] Jorge RIBEIRO </t>
  </si>
  <si>
    <t>DECO  (POR)</t>
  </si>
  <si>
    <t xml:space="preserve">[20] DECO </t>
  </si>
  <si>
    <t>Raul  J. MEIRELES  (POR)</t>
  </si>
  <si>
    <t xml:space="preserve">[ 6 ] Raul  J. MEIRELES </t>
  </si>
  <si>
    <t>João MOUTINHO  (POR)</t>
  </si>
  <si>
    <t xml:space="preserve">[10] João MOUTINHO </t>
  </si>
  <si>
    <t>NANI  (POR)</t>
  </si>
  <si>
    <t xml:space="preserve">[19] NANI </t>
  </si>
  <si>
    <t>PETIT  (POR)</t>
  </si>
  <si>
    <t xml:space="preserve">[ 8 ] PETIT </t>
  </si>
  <si>
    <t>Ricardo QUARESMA  (POR)</t>
  </si>
  <si>
    <t xml:space="preserve">[17] Ricardo QUARESMA </t>
  </si>
  <si>
    <t>SIMÃO (POR)</t>
  </si>
  <si>
    <t>[11] SIMÃO</t>
  </si>
  <si>
    <t>Miguel VELOSO  (POR)</t>
  </si>
  <si>
    <t xml:space="preserve">[18] Miguel VELOSO </t>
  </si>
  <si>
    <t>Hugo ALMEIDA  (POR)</t>
  </si>
  <si>
    <t xml:space="preserve">[ 9 ] Hugo ALMEIDA </t>
  </si>
  <si>
    <t>CRISTIANO RONALDO  (POR)</t>
  </si>
  <si>
    <t xml:space="preserve">[ 7 ] CRISTIANO RONALDO </t>
  </si>
  <si>
    <t>NUNO GOMES  (POR)</t>
  </si>
  <si>
    <t xml:space="preserve">[21] NUNO GOMES </t>
  </si>
  <si>
    <t>Hélder POSTIGA  (POR)</t>
  </si>
  <si>
    <t xml:space="preserve">[23] Hélder POSTIGA </t>
  </si>
  <si>
    <t>Volkan DEMIREL (TUR)</t>
  </si>
  <si>
    <t>[23] Volkan DEMIREL</t>
  </si>
  <si>
    <t>RÜŞTÜ (TUR)</t>
  </si>
  <si>
    <t>[ 1 ] RÜŞTÜ</t>
  </si>
  <si>
    <t>Tolga ZENGIN (TUR)</t>
  </si>
  <si>
    <t>[12] Tolga ZENGIN</t>
  </si>
  <si>
    <t>Emre ASIK (TUR)</t>
  </si>
  <si>
    <t>[15] Emre ASIK</t>
  </si>
  <si>
    <t>Hakan BALTA (TUR)</t>
  </si>
  <si>
    <t>[ 3 ] Hakan BALTA</t>
  </si>
  <si>
    <t>Ugur BORAL (TUR)</t>
  </si>
  <si>
    <t>[16] Ugur BORAL</t>
  </si>
  <si>
    <t>Servet ÇETIN (TUR)</t>
  </si>
  <si>
    <t>[ 2 ] Servet ÇETIN</t>
  </si>
  <si>
    <t>Emre GÜNGÖR (TUR)</t>
  </si>
  <si>
    <t>[13] Emre GÜNGÖR</t>
  </si>
  <si>
    <t>Sabri SARIOGLU (TUR)</t>
  </si>
  <si>
    <t>[20] Sabri SARIOGLU</t>
  </si>
  <si>
    <t>Gökhan ZAN (TUR)</t>
  </si>
  <si>
    <t>[ 4 ] Gökhan ZAN</t>
  </si>
  <si>
    <t>Ayhan AKMAN (TUR)</t>
  </si>
  <si>
    <t>[19] Ayhan AKMAN</t>
  </si>
  <si>
    <t>Hamit ALTINTOP (TUR)</t>
  </si>
  <si>
    <t>[22] Hamit ALTINTOP</t>
  </si>
  <si>
    <t>Mehmet AURELIO (TUR)</t>
  </si>
  <si>
    <t>[ 7 ] Mehmet AURELIO</t>
  </si>
  <si>
    <t>Emre BELÖZOĞLU (TUR)</t>
  </si>
  <si>
    <t>[ 5 ] Emre BELÖZOĞLU</t>
  </si>
  <si>
    <t>Kazim KAZIM (TUR)</t>
  </si>
  <si>
    <t>[18] Kazim KAZIM</t>
  </si>
  <si>
    <t>Tümer METIN (TUR)</t>
  </si>
  <si>
    <t>[11] Tümer METIN</t>
  </si>
  <si>
    <t>Tuncay SANLI (TUR)</t>
  </si>
  <si>
    <t>[17] Tuncay SANLI</t>
  </si>
  <si>
    <t>Mehmet TOPAL (TUR)</t>
  </si>
  <si>
    <t>[ 6 ] Mehmet TOPAL</t>
  </si>
  <si>
    <t>Arda TURAN (TUR)</t>
  </si>
  <si>
    <t>[14] Arda TURAN</t>
  </si>
  <si>
    <t>Mevlut ERDING (TUR)</t>
  </si>
  <si>
    <t>[21] Mevlut ERDING</t>
  </si>
  <si>
    <t>Gökdeniz KARADENIZ (TUR)</t>
  </si>
  <si>
    <t>[10] Gökdeniz KARADENIZ</t>
  </si>
  <si>
    <t>NIHAT (TUR)</t>
  </si>
  <si>
    <t>[ 8 ] NIHAT</t>
  </si>
  <si>
    <t>Semih SENTÜRK (TUR)</t>
  </si>
  <si>
    <t>[ 9 ] Semih SENTÜRK</t>
  </si>
  <si>
    <t>Jürgen MACHO (AUT)</t>
  </si>
  <si>
    <t>[21] Jürgen MACHO</t>
  </si>
  <si>
    <t>Alexander MANNINGER (AUT)</t>
  </si>
  <si>
    <t>[ 1 ] Alexander MANNINGER</t>
  </si>
  <si>
    <t>Ramazan ÖZCAN (AUT)</t>
  </si>
  <si>
    <t>[23] Ramazan ÖZCAN</t>
  </si>
  <si>
    <t>Ronald GERCALIU (AUT)</t>
  </si>
  <si>
    <t>[12] Ronald GERCALIU</t>
  </si>
  <si>
    <t>Martin HIDEN (AUT)</t>
  </si>
  <si>
    <t>[17] Martin HIDEN</t>
  </si>
  <si>
    <t>Markus KATZER (AUT)</t>
  </si>
  <si>
    <t>[13] Markus KATZER</t>
  </si>
  <si>
    <t>Jürgen PATOCKA (AUT)</t>
  </si>
  <si>
    <t>[16] Jürgen PATOCKA</t>
  </si>
  <si>
    <t>Emanuel POGATETZ (AUT)</t>
  </si>
  <si>
    <t>[ 4 ] Emanuel POGATETZ</t>
  </si>
  <si>
    <t>Sebastian PRÖDL (AUT)</t>
  </si>
  <si>
    <t>[15] Sebastian PRÖDL</t>
  </si>
  <si>
    <t>Joachim STANDFEST (AUT)</t>
  </si>
  <si>
    <t>[ 2 ] Joachim STANDFEST</t>
  </si>
  <si>
    <t>Martin STRANZL (AUT)</t>
  </si>
  <si>
    <t>[ 3 ] Martin STRANZL</t>
  </si>
  <si>
    <t>René AUFHAUSER (AUT)</t>
  </si>
  <si>
    <t>[ 6 ] René AUFHAUSER</t>
  </si>
  <si>
    <t>Christian FUCHS (AUT)</t>
  </si>
  <si>
    <t>[ 5 ] Christian FUCHS</t>
  </si>
  <si>
    <t>György GARICS (AUT)</t>
  </si>
  <si>
    <t>[14] György GARICS</t>
  </si>
  <si>
    <t>Andreas IVANSCHITZ (AUT)</t>
  </si>
  <si>
    <t>[10] Andreas IVANSCHITZ</t>
  </si>
  <si>
    <t>Ümit KORKMAZ (AUT)</t>
  </si>
  <si>
    <t>[11] Ümit KORKMAZ</t>
  </si>
  <si>
    <t>Christoph LEITGEB (AUT)</t>
  </si>
  <si>
    <t>[ 8 ] Christoph LEITGEB</t>
  </si>
  <si>
    <t>Jürgen SÄUMEL (AUT)</t>
  </si>
  <si>
    <t>[19] Jürgen SÄUMEL</t>
  </si>
  <si>
    <t>Martin HARNIK (AUT)</t>
  </si>
  <si>
    <t>[20] Martin HARNIK</t>
  </si>
  <si>
    <t>Erwin HOFFER (AUT)</t>
  </si>
  <si>
    <t>[22] Erwin HOFFER</t>
  </si>
  <si>
    <t>Roman KIENAST (AUT)</t>
  </si>
  <si>
    <t>[18] Roman KIENAST</t>
  </si>
  <si>
    <t>Roland LINZ (AUT)</t>
  </si>
  <si>
    <t>[ 9 ] Roland LINZ</t>
  </si>
  <si>
    <t>Ivica VASTIC (AUT)</t>
  </si>
  <si>
    <t>[ 7 ] Ivica VASTIC</t>
  </si>
  <si>
    <t>Mario GALINOVIĆ (CRO)</t>
  </si>
  <si>
    <t>[12] Mario GALINOVIĆ</t>
  </si>
  <si>
    <t>Stipe PLETIKOSA (CRO)</t>
  </si>
  <si>
    <t>[ 1 ] Stipe PLETIKOSA</t>
  </si>
  <si>
    <t>Vedran RUNJE (CRO)</t>
  </si>
  <si>
    <t>[23] Vedran RUNJE</t>
  </si>
  <si>
    <t>Vedran ĆORLUKA (CRO)</t>
  </si>
  <si>
    <t>[ 5 ] Vedran ĆORLUKA</t>
  </si>
  <si>
    <t>Dario KNEŽEVIĆ (CRO)</t>
  </si>
  <si>
    <t>[15] Dario KNEŽEVIĆ</t>
  </si>
  <si>
    <t>Robert KOVAČ (CRO)</t>
  </si>
  <si>
    <t>[ 4 ] Robert KOVAČ</t>
  </si>
  <si>
    <t>Dario ŠIMIĆ (CRO)</t>
  </si>
  <si>
    <t>[ 2 ] Dario ŠIMIĆ</t>
  </si>
  <si>
    <t>Josip ŠIMUNIĆ (CRO)</t>
  </si>
  <si>
    <t>[ 3 ] Josip ŠIMUNIĆ</t>
  </si>
  <si>
    <t>Hrvoje VEJIĆ (CRO)</t>
  </si>
  <si>
    <t>[ 6 ] Hrvoje VEJIĆ</t>
  </si>
  <si>
    <t>Niko KOVAČ (CRO)</t>
  </si>
  <si>
    <t>[10] Niko KOVAČ</t>
  </si>
  <si>
    <t>Niko KRANJČAR (CRO)</t>
  </si>
  <si>
    <t>[19] Niko KRANJČAR</t>
  </si>
  <si>
    <t>Jerko LEKO (CRO)</t>
  </si>
  <si>
    <t>[16] Jerko LEKO</t>
  </si>
  <si>
    <t>Luka MODRIĆ (CRO)</t>
  </si>
  <si>
    <t>[14] Luka MODRIĆ</t>
  </si>
  <si>
    <t>Nikola POKRIVAČ (CRO)</t>
  </si>
  <si>
    <t>[13] Nikola POKRIVAČ</t>
  </si>
  <si>
    <t>Danijel PRANJIĆ (CRO)</t>
  </si>
  <si>
    <t>[22] Danijel PRANJIĆ</t>
  </si>
  <si>
    <t>Ivan RAKITIĆ (CRO)</t>
  </si>
  <si>
    <t>[ 7 ] Ivan RAKITIĆ</t>
  </si>
  <si>
    <t>Dario SRNA (CRO)</t>
  </si>
  <si>
    <t>[11] Dario SRNA</t>
  </si>
  <si>
    <t>Ognjen VUKOJEVIĆ (CRO)</t>
  </si>
  <si>
    <t>[ 8 ] Ognjen VUKOJEVIĆ</t>
  </si>
  <si>
    <t>Igor BUDAN (CRO)</t>
  </si>
  <si>
    <t>[20] Igor BUDAN</t>
  </si>
  <si>
    <t>Nikola KALINIĆ (CRO)</t>
  </si>
  <si>
    <t>[ 9 ] Nikola KALINIĆ</t>
  </si>
  <si>
    <t>Ivan KLASNIĆ (CRO)</t>
  </si>
  <si>
    <t>[17] Ivan KLASNIĆ</t>
  </si>
  <si>
    <t>Ivica OLIĆ (CRO)</t>
  </si>
  <si>
    <t>[18] Ivica OLIĆ</t>
  </si>
  <si>
    <t>Mladen PETRIĆ (CRO)</t>
  </si>
  <si>
    <t>[21] Mladen PETRIĆ</t>
  </si>
  <si>
    <t>René ADLER (GER)</t>
  </si>
  <si>
    <t>[23] René ADLER</t>
  </si>
  <si>
    <t>Robert ENKE (GER)</t>
  </si>
  <si>
    <t>[12] Robert ENKE</t>
  </si>
  <si>
    <t>Jens LEHMANN (GER)</t>
  </si>
  <si>
    <t>[ 1 ] Jens LEHMANN</t>
  </si>
  <si>
    <t>Arne FRIEDRICH (GER)</t>
  </si>
  <si>
    <t>[ 3 ] Arne FRIEDRICH</t>
  </si>
  <si>
    <t>Clemens FRITZ (GER)</t>
  </si>
  <si>
    <t>[ 4 ] Clemens FRITZ</t>
  </si>
  <si>
    <t>Marcell JANSEN (GER)</t>
  </si>
  <si>
    <t>[ 2 ] Marcell JANSEN</t>
  </si>
  <si>
    <t>Philipp LAHM (GER)</t>
  </si>
  <si>
    <t>[16] Philipp LAHM</t>
  </si>
  <si>
    <t>Per MERTESACKER (GER)</t>
  </si>
  <si>
    <t>[17] Per MERTESACKER</t>
  </si>
  <si>
    <t>Christoph METZELDER (GER)</t>
  </si>
  <si>
    <t>[21] Christoph METZELDER</t>
  </si>
  <si>
    <t>Heiko WESTERMANN (GER)</t>
  </si>
  <si>
    <t>[ 5 ] Heiko WESTERMANN</t>
  </si>
  <si>
    <t>Michael BALLACK (GER)</t>
  </si>
  <si>
    <t>[13] Michael BALLACK</t>
  </si>
  <si>
    <t>Tim BOROWSKI (GER)</t>
  </si>
  <si>
    <t>[18] Tim BOROWSKI</t>
  </si>
  <si>
    <t>Torsten FRINGS (GER)</t>
  </si>
  <si>
    <t>[ 8 ] Torsten FRINGS</t>
  </si>
  <si>
    <t>Thomas HITZLSPERGER (GER)</t>
  </si>
  <si>
    <t>[15] Thomas HITZLSPERGER</t>
  </si>
  <si>
    <t>David ODONKOR (GER)</t>
  </si>
  <si>
    <t>[19] David ODONKOR</t>
  </si>
  <si>
    <t>Simon ROLFES (GER)</t>
  </si>
  <si>
    <t>[ 6 ] Simon ROLFES</t>
  </si>
  <si>
    <t>Bastian SCHWEINSTEIGER (GER)</t>
  </si>
  <si>
    <t>[ 7 ] Bastian SCHWEINSTEIGER</t>
  </si>
  <si>
    <t>Piotr TROCHOWSKI (GER)</t>
  </si>
  <si>
    <t>[14] Piotr TROCHOWSKI</t>
  </si>
  <si>
    <t>Mario GOMEZ (GER)</t>
  </si>
  <si>
    <t>[ 9 ] Mario GOMEZ</t>
  </si>
  <si>
    <t>Miroslav KLOSE (GER)</t>
  </si>
  <si>
    <t>[11] Miroslav KLOSE</t>
  </si>
  <si>
    <t>Kevin KURANYI (GER)</t>
  </si>
  <si>
    <t>[22] Kevin KURANYI</t>
  </si>
  <si>
    <t>Oliver NEUVILLE (GER)</t>
  </si>
  <si>
    <t>[10] Oliver NEUVILLE</t>
  </si>
  <si>
    <t>Lukas PODOLSKI (GER)</t>
  </si>
  <si>
    <t>[20] Lukas PODOLSKI</t>
  </si>
  <si>
    <t>Artur BORUC (POL)</t>
  </si>
  <si>
    <t>[ 1 ] Artur BORUC</t>
  </si>
  <si>
    <t>Lukasz FABIANSKI (POL)</t>
  </si>
  <si>
    <t>[22] Lukasz FABIANSKI</t>
  </si>
  <si>
    <t>Tomasz KUSZCZAK (POL)</t>
  </si>
  <si>
    <t>[12] Tomasz KUSZCZAK</t>
  </si>
  <si>
    <t>Jacek BAK (POL)</t>
  </si>
  <si>
    <t>[ 6 ] Jacek BAK</t>
  </si>
  <si>
    <t>Pawel GOLANSKI (POL)</t>
  </si>
  <si>
    <t>[ 4 ] Pawel GOLANSKI</t>
  </si>
  <si>
    <t>Mariusz JOP (POL)</t>
  </si>
  <si>
    <t>[ 2 ] Mariusz JOP</t>
  </si>
  <si>
    <t>Adam KOKOSZKA (POL)</t>
  </si>
  <si>
    <t>[23] Adam KOKOSZKA</t>
  </si>
  <si>
    <t>Michal PAZDAN (POL)</t>
  </si>
  <si>
    <t>[15] Michal PAZDAN</t>
  </si>
  <si>
    <t>Marcin WASILEWSKI (POL)</t>
  </si>
  <si>
    <t>[13] Marcin WASILEWSKI</t>
  </si>
  <si>
    <t>Jakub WAWRZYNIAK (POL)</t>
  </si>
  <si>
    <t>[ 3 ] Jakub WAWRZYNIAK</t>
  </si>
  <si>
    <t>Michal ZEWLAKOW (POL)</t>
  </si>
  <si>
    <t>[14] Michal ZEWLAKOW</t>
  </si>
  <si>
    <t>Jakub BLASZCZYKOWSKI (POL)</t>
  </si>
  <si>
    <t>[16] Jakub BLASZCZYKOWSKI</t>
  </si>
  <si>
    <t>Dariusz DUDKA (POL)</t>
  </si>
  <si>
    <t>[ 5 ] Dariusz DUDKA</t>
  </si>
  <si>
    <t>Lukasz GARGULA (POL)</t>
  </si>
  <si>
    <t>[10] Lukasz GARGULA</t>
  </si>
  <si>
    <t>Roger GUERREIRO  (POL)</t>
  </si>
  <si>
    <t xml:space="preserve">[20] Roger GUERREIRO </t>
  </si>
  <si>
    <t>Jacek KRZYNOWEK (POL)</t>
  </si>
  <si>
    <t>[ 8 ] Jacek KRZYNOWEK</t>
  </si>
  <si>
    <t>Mariusz LEWANDOWSKI (POL)</t>
  </si>
  <si>
    <t>[18] Mariusz LEWANDOWSKI</t>
  </si>
  <si>
    <t>Rafal MURAWSKI (POL)</t>
  </si>
  <si>
    <t>[19] Rafal MURAWSKI</t>
  </si>
  <si>
    <t>Wojciech LOBODZINSKI (POL)</t>
  </si>
  <si>
    <t>[17] Wojciech LOBODZINSKI</t>
  </si>
  <si>
    <t>Marek SAGANOWSKI (POL)</t>
  </si>
  <si>
    <t>[11] Marek SAGANOWSKI</t>
  </si>
  <si>
    <t>Euzebiusz SMOLAREK (POL)</t>
  </si>
  <si>
    <t>[ 7 ] Euzebiusz SMOLAREK</t>
  </si>
  <si>
    <t>Tomasz ZAHORSKI (POL)</t>
  </si>
  <si>
    <t>[21] Tomasz ZAHORSKI</t>
  </si>
  <si>
    <t>Maciej ZURAWSKI (POL)</t>
  </si>
  <si>
    <t>[ 9 ] Maciej ZURAWSKI</t>
  </si>
  <si>
    <t>Maarten STEKELENBURG (NED)</t>
  </si>
  <si>
    <t>[16] Maarten STEKELENBURG</t>
  </si>
  <si>
    <t>Henk TIMMER (NED)</t>
  </si>
  <si>
    <t>[13] Henk TIMMER</t>
  </si>
  <si>
    <t>Edwin VAN DER SAR (NED)</t>
  </si>
  <si>
    <t>[ 1 ] Edwin VAN DER SAR</t>
  </si>
  <si>
    <t>Wilfred BOUMA (NED)</t>
  </si>
  <si>
    <t>[14] Wilfred BOUMA</t>
  </si>
  <si>
    <t>Tim DE CLER (NED)</t>
  </si>
  <si>
    <t>[15] Tim DE CLER</t>
  </si>
  <si>
    <t>John HEITINGA (NED)</t>
  </si>
  <si>
    <t>[ 3 ] John HEITINGA</t>
  </si>
  <si>
    <t>Joris MATHIJSEN (NED)</t>
  </si>
  <si>
    <t>[ 4 ] Joris MATHIJSEN</t>
  </si>
  <si>
    <t>Mario MELCHIOT (NED)</t>
  </si>
  <si>
    <t>[12] Mario MELCHIOT</t>
  </si>
  <si>
    <t>André OOIJER (NED)</t>
  </si>
  <si>
    <t>[ 2 ] André OOIJER</t>
  </si>
  <si>
    <t>Giovanni VAN BRONCKHORST (NED)</t>
  </si>
  <si>
    <t>[ 5 ] Giovanni VAN BRONCKHORST</t>
  </si>
  <si>
    <t>Ibrahim AFELLAY (NED)</t>
  </si>
  <si>
    <t>[20] Ibrahim AFELLAY</t>
  </si>
  <si>
    <t>Ryan BABEL (NED)</t>
  </si>
  <si>
    <t>[21] Ryan BABEL</t>
  </si>
  <si>
    <t>Nigel DE JONG (NED)</t>
  </si>
  <si>
    <t>[17] Nigel DE JONG</t>
  </si>
  <si>
    <t>Demy DE ZEEUW (NED)</t>
  </si>
  <si>
    <t>[ 6 ] Demy DE ZEEUW</t>
  </si>
  <si>
    <t>Orlando ENGELAAR (NED)</t>
  </si>
  <si>
    <t>[ 8 ] Orlando ENGELAAR</t>
  </si>
  <si>
    <t>Arjen ROBBEN (NED)</t>
  </si>
  <si>
    <t>[11] Arjen ROBBEN</t>
  </si>
  <si>
    <t>Wesley SNEIJDER (NED)</t>
  </si>
  <si>
    <t>[10] Wesley SNEIJDER</t>
  </si>
  <si>
    <t>Rafael VAN DER VAART (NED)</t>
  </si>
  <si>
    <t>[23] Rafael VAN DER VAART</t>
  </si>
  <si>
    <t>Klaas Jan HUNTELAAR (NED)</t>
  </si>
  <si>
    <t>[19] Klaas Jan HUNTELAAR</t>
  </si>
  <si>
    <t>Dirk KUIJT (NED)</t>
  </si>
  <si>
    <t>[18] Dirk KUIJT</t>
  </si>
  <si>
    <t>Ruud VAN NISTELROOY (NED)</t>
  </si>
  <si>
    <t>[ 9 ] Ruud VAN NISTELROOY</t>
  </si>
  <si>
    <t>Robin VAN PERSIE (NED)</t>
  </si>
  <si>
    <t>[ 7 ] Robin VAN PERSIE</t>
  </si>
  <si>
    <t>Jan VENNEGOOR OF HESSELINK (NED)</t>
  </si>
  <si>
    <t>[22] Jan VENNEGOOR OF HESSELINK</t>
  </si>
  <si>
    <t>Marco AMELIA (ITA)</t>
  </si>
  <si>
    <t>[14] Marco AMELIA</t>
  </si>
  <si>
    <t>Gianluigi BUFFON (ITA)</t>
  </si>
  <si>
    <t>[ 1 ] Gianluigi BUFFON</t>
  </si>
  <si>
    <t>Morgan DE SANCTIS (ITA)</t>
  </si>
  <si>
    <t>[17] Morgan DE SANCTIS</t>
  </si>
  <si>
    <t>Andrea BARZAGLI (ITA)</t>
  </si>
  <si>
    <t>[ 6 ] Andrea BARZAGLI</t>
  </si>
  <si>
    <t>Fabio CANNAVARO (ITA)</t>
  </si>
  <si>
    <t>[ 5 ] Fabio CANNAVARO</t>
  </si>
  <si>
    <t>Giorgio CHIELLINI (ITA)</t>
  </si>
  <si>
    <t>[ 4 ] Giorgio CHIELLINI</t>
  </si>
  <si>
    <t>Fabio GROSSO (ITA)</t>
  </si>
  <si>
    <t>[ 3 ] Fabio GROSSO</t>
  </si>
  <si>
    <t>Marco MATERAZZI (ITA)</t>
  </si>
  <si>
    <t>[23] Marco MATERAZZI</t>
  </si>
  <si>
    <t>Christian PANUCCI (ITA)</t>
  </si>
  <si>
    <t>[ 2 ] Christian PANUCCI</t>
  </si>
  <si>
    <t>Gianluca ZAMBROTTA (ITA)</t>
  </si>
  <si>
    <t>[19] Gianluca ZAMBROTTA</t>
  </si>
  <si>
    <t>Massimo AMBROSINI (ITA)</t>
  </si>
  <si>
    <t>[13] Massimo AMBROSINI</t>
  </si>
  <si>
    <t>Alberto AQUILANI (ITA)</t>
  </si>
  <si>
    <t>[22] Alberto AQUILANI</t>
  </si>
  <si>
    <t>Mauro German CAMORANESI (ITA)</t>
  </si>
  <si>
    <t>[16] Mauro German CAMORANESI</t>
  </si>
  <si>
    <t>Daniele DE ROSSI (ITA)</t>
  </si>
  <si>
    <t>[10] Daniele DE ROSSI</t>
  </si>
  <si>
    <t>Antonio DI NATALE (ITA)</t>
  </si>
  <si>
    <t>[11] Antonio DI NATALE</t>
  </si>
  <si>
    <t>Gennaro GATTUSO (ITA)</t>
  </si>
  <si>
    <t>[ 8 ] Gennaro GATTUSO</t>
  </si>
  <si>
    <t>Simone PERROTTA (ITA)</t>
  </si>
  <si>
    <t>[20] Simone PERROTTA</t>
  </si>
  <si>
    <t>Andrea PIRLO (ITA)</t>
  </si>
  <si>
    <t>[21] Andrea PIRLO</t>
  </si>
  <si>
    <t>Marco BORRIELLO (ITA)</t>
  </si>
  <si>
    <t>[12] Marco BORRIELLO</t>
  </si>
  <si>
    <t>Antonio CASSANO (ITA)</t>
  </si>
  <si>
    <t>[19] Antonio CASSANO</t>
  </si>
  <si>
    <t>Alessandro DEL PIERO (ITA)</t>
  </si>
  <si>
    <t>[ 7 ] Alessandro DEL PIERO</t>
  </si>
  <si>
    <t>Fabio QUAGLIARELLA (ITA)</t>
  </si>
  <si>
    <t>[15] Fabio QUAGLIARELLA</t>
  </si>
  <si>
    <t>Luca TONI (ITA)</t>
  </si>
  <si>
    <t>[ 9 ] Luca TONI</t>
  </si>
  <si>
    <t>Bogdan LOBONT (ROM)</t>
  </si>
  <si>
    <t>[ 1 ] Bogdan LOBONT</t>
  </si>
  <si>
    <t>Marius POPA (ROM)</t>
  </si>
  <si>
    <t>[12] Marius POPA</t>
  </si>
  <si>
    <t>Eduard STANCIOIU (ROM)</t>
  </si>
  <si>
    <t>[23] Eduard STANCIOIU</t>
  </si>
  <si>
    <t>Cosmin CONTRA (ROM)</t>
  </si>
  <si>
    <t>[ 2 ] Cosmin CONTRA</t>
  </si>
  <si>
    <t>Sorin GHIONEA (ROM)</t>
  </si>
  <si>
    <t>[14] Sorin GHIONEA</t>
  </si>
  <si>
    <t>Dorin GOIAN (ROM)</t>
  </si>
  <si>
    <t>[15] Dorin GOIAN</t>
  </si>
  <si>
    <t>Cosmin MOTI (ROM)</t>
  </si>
  <si>
    <t>[17] Cosmin MOTI</t>
  </si>
  <si>
    <t>Stefan RADU (ROM)</t>
  </si>
  <si>
    <t>[22] Stefan RADU</t>
  </si>
  <si>
    <t>Razvan RAT (ROM)</t>
  </si>
  <si>
    <t>[ 3 ] Razvan RAT</t>
  </si>
  <si>
    <t>Cristian SAPUNARU (ROM)</t>
  </si>
  <si>
    <t>[13] Cristian SAPUNARU</t>
  </si>
  <si>
    <t>Gabriel TAMAS (ROM)</t>
  </si>
  <si>
    <t>[ 4 ] Gabriel TAMAS</t>
  </si>
  <si>
    <t>Cristian CHIVU (ROM)</t>
  </si>
  <si>
    <t>[ 5 ] Cristian CHIVU</t>
  </si>
  <si>
    <t>Razvan COCIS (ROM)</t>
  </si>
  <si>
    <t>[11] Razvan COCIS</t>
  </si>
  <si>
    <t>Paul CODREA (ROM)</t>
  </si>
  <si>
    <t>[ 8 ] Paul CODREA</t>
  </si>
  <si>
    <t>Adrian CRISTEA (ROM)</t>
  </si>
  <si>
    <t>[19] Adrian CRISTEA</t>
  </si>
  <si>
    <t>Banel NICOLITA (ROM)</t>
  </si>
  <si>
    <t>[16] Banel NICOLITA</t>
  </si>
  <si>
    <t>Florentin PETRE (ROM)</t>
  </si>
  <si>
    <t>[ 7 ] Florentin PETRE</t>
  </si>
  <si>
    <t>Mirel RADOI (ROM)</t>
  </si>
  <si>
    <t>[ 6 ] Mirel RADOI</t>
  </si>
  <si>
    <t>Nicolae DICA (ROM)</t>
  </si>
  <si>
    <t>[20] Nicolae DICA</t>
  </si>
  <si>
    <t>Ciprian MARICA (ROM)</t>
  </si>
  <si>
    <t>[ 9 ] Ciprian MARICA</t>
  </si>
  <si>
    <t>Adrian MUTU (ROM)</t>
  </si>
  <si>
    <t>[10] Adrian MUTU</t>
  </si>
  <si>
    <t>Marius NICULAE (ROM)</t>
  </si>
  <si>
    <t>[18] Marius NICULAE</t>
  </si>
  <si>
    <t>Daniel NICULAE (ROM)</t>
  </si>
  <si>
    <t>[21] Daniel NICULAE</t>
  </si>
  <si>
    <t>Gregory COUPET (FRA)</t>
  </si>
  <si>
    <t>[23] Gregory COUPET</t>
  </si>
  <si>
    <t>Sebastien FREY (FRA)</t>
  </si>
  <si>
    <t>[16] Sebastien FREY</t>
  </si>
  <si>
    <t>Steve MANDANDA (FRA)</t>
  </si>
  <si>
    <t>[ 1 ] Steve MANDANDA</t>
  </si>
  <si>
    <t>Eric ABIDAL (FRA)</t>
  </si>
  <si>
    <t>[ 3 ] Eric ABIDAL</t>
  </si>
  <si>
    <t>Jean Alain BOUMSONG (FRA)</t>
  </si>
  <si>
    <t>[ 2 ] Jean Alain BOUMSONG</t>
  </si>
  <si>
    <t>Francois CLERC (FRA)</t>
  </si>
  <si>
    <t>[14] Francois CLERC</t>
  </si>
  <si>
    <t>Patrice EVRA (FRA)</t>
  </si>
  <si>
    <t>[13] Patrice EVRA</t>
  </si>
  <si>
    <t>William GALLAS (FRA)</t>
  </si>
  <si>
    <t>[ 5 ] William GALLAS</t>
  </si>
  <si>
    <t>Willy SAGNOL (FRA)</t>
  </si>
  <si>
    <t>[19] Willy SAGNOL</t>
  </si>
  <si>
    <t>Sebastien SQUILLACI (FRA)</t>
  </si>
  <si>
    <t>[17] Sebastien SQUILLACI</t>
  </si>
  <si>
    <t>Lilian THURAM (FRA)</t>
  </si>
  <si>
    <t>[15] Lilian THURAM</t>
  </si>
  <si>
    <t>Lassana DIARRA (FRA)</t>
  </si>
  <si>
    <t>[21] Lassana DIARRA</t>
  </si>
  <si>
    <t>Claude MAKELELE (FRA)</t>
  </si>
  <si>
    <t>[ 6 ] Claude MAKELELE</t>
  </si>
  <si>
    <t>Florent MALOUDA (FRA)</t>
  </si>
  <si>
    <t>[ 7 ] Florent MALOUDA</t>
  </si>
  <si>
    <t>Samir NASRI (FRA)</t>
  </si>
  <si>
    <t>[11] Samir NASRI</t>
  </si>
  <si>
    <t>Franck RIBERY (FRA)</t>
  </si>
  <si>
    <t>[22] Franck RIBERY</t>
  </si>
  <si>
    <t>Jeremy TOULALAN (FRA)</t>
  </si>
  <si>
    <t>[20] Jeremy TOULALAN</t>
  </si>
  <si>
    <t>Patrick VIEIRA (FRA)</t>
  </si>
  <si>
    <t>[ 4 ] Patrick VIEIRA</t>
  </si>
  <si>
    <t>Nicolas ANELKA (FRA)</t>
  </si>
  <si>
    <t>[ 8 ] Nicolas ANELKA</t>
  </si>
  <si>
    <t>Karim BENZEMA (FRA)</t>
  </si>
  <si>
    <t>[ 9 ] Karim BENZEMA</t>
  </si>
  <si>
    <t>Bafetimbi GOMIS (FRA)</t>
  </si>
  <si>
    <t>[18] Bafetimbi GOMIS</t>
  </si>
  <si>
    <t>Sidney GOVOU (FRA)</t>
  </si>
  <si>
    <t>[10] Sidney GOVOU</t>
  </si>
  <si>
    <t>Thierry HENRY (FRA)</t>
  </si>
  <si>
    <t>[12] Thierry HENRY</t>
  </si>
  <si>
    <t>Kostas CHALKIAS (GRE)</t>
  </si>
  <si>
    <t>[12] Kostas CHALKIAS</t>
  </si>
  <si>
    <t>Antonis NIKOPOLIDIS (GRE)</t>
  </si>
  <si>
    <t>[ 1 ] Antonis NIKOPOLIDIS</t>
  </si>
  <si>
    <t>Alexandros TZORVAS (GRE)</t>
  </si>
  <si>
    <t>[13] Alexandros TZORVAS</t>
  </si>
  <si>
    <t>Paraskevas ANTZAS (GRE)</t>
  </si>
  <si>
    <t>[19] Paraskevas ANTZAS</t>
  </si>
  <si>
    <t>Traianos DELLAS (GRE)</t>
  </si>
  <si>
    <t>[ 5 ] Traianos DELLAS</t>
  </si>
  <si>
    <t>Ioannis GOUMAS (GRE)</t>
  </si>
  <si>
    <t>[18] Ioannis GOUMAS</t>
  </si>
  <si>
    <t>Sotirios KYRGIAKOS (GRE)</t>
  </si>
  <si>
    <t>[16] Sotirios KYRGIAKOS</t>
  </si>
  <si>
    <t>Christos PATSATZOGLU (GRE)</t>
  </si>
  <si>
    <t>[ 3 ] Christos PATSATZOGLU</t>
  </si>
  <si>
    <t>Georgios SEITARIDIS (GRE)</t>
  </si>
  <si>
    <t>[ 2 ] Georgios SEITARIDIS</t>
  </si>
  <si>
    <t>Nikos SPIROPOULOS (GRE)</t>
  </si>
  <si>
    <t>[ 4 ] Nikos SPIROPOULOS</t>
  </si>
  <si>
    <t>Vassilis TOROSIDIS (GRE)</t>
  </si>
  <si>
    <t>[15] Vassilis TOROSIDIS</t>
  </si>
  <si>
    <t>Loukas VYNTRA (GRE)</t>
  </si>
  <si>
    <t>[11] Loukas VYNTRA</t>
  </si>
  <si>
    <t>Angelos BASINAS (GRE)</t>
  </si>
  <si>
    <t>[ 6 ] Angelos BASINAS</t>
  </si>
  <si>
    <t>Stelios GIANNAKOPOULOS (GRE)</t>
  </si>
  <si>
    <t>[ 8 ] Stelios GIANNAKOPOULOS</t>
  </si>
  <si>
    <t>Georgios KARAGOUNIS (GRE)</t>
  </si>
  <si>
    <t>[10] Georgios KARAGOUNIS</t>
  </si>
  <si>
    <t>Konstantinos KATSOURANIS (GRE)</t>
  </si>
  <si>
    <t>[21] Konstantinos KATSOURANIS</t>
  </si>
  <si>
    <t>Alexandros TZIOLIS (GRE)</t>
  </si>
  <si>
    <t>[22] Alexandros TZIOLIS</t>
  </si>
  <si>
    <t>Ioannis AMANATIDIS (GRE)</t>
  </si>
  <si>
    <t>[20] Ioannis AMANATIDIS</t>
  </si>
  <si>
    <t>Angelos CHARISTEAS (GRE)</t>
  </si>
  <si>
    <t>[ 9 ] Angelos CHARISTEAS</t>
  </si>
  <si>
    <t>Theofanis GEKAS (GRE)</t>
  </si>
  <si>
    <t>[17] Theofanis GEKAS</t>
  </si>
  <si>
    <t>Nikos LIBEROPOULOS (GRE)</t>
  </si>
  <si>
    <t>[23] Nikos LIBEROPOULOS</t>
  </si>
  <si>
    <t>Dimitrios SALPINGIDIS (GRE)</t>
  </si>
  <si>
    <t>[14] Dimitrios SALPINGIDIS</t>
  </si>
  <si>
    <t>Georgios SAMARAS (GRE)</t>
  </si>
  <si>
    <t>[ 7 ] Georgios SAMARAS</t>
  </si>
  <si>
    <t>Andreas ISAKSSON (SWE)</t>
  </si>
  <si>
    <t>[ 1 ] Andreas ISAKSSON</t>
  </si>
  <si>
    <t>Rami SHAABAN (SWE)</t>
  </si>
  <si>
    <t>[12] Rami SHAABAN</t>
  </si>
  <si>
    <t>Johan WILAND (SWE)</t>
  </si>
  <si>
    <t>[13] Johan WILAND</t>
  </si>
  <si>
    <t>Mikael DORSIN (SWE)</t>
  </si>
  <si>
    <t>[23] Mikael DORSIN</t>
  </si>
  <si>
    <t>Andreas GRANQVIST (SWE)</t>
  </si>
  <si>
    <t>[15] Andreas GRANQVIST</t>
  </si>
  <si>
    <t>Petter HANSSON (SWE)</t>
  </si>
  <si>
    <t>[ 4 ] Petter HANSSON</t>
  </si>
  <si>
    <t>Daniel MAJSTOROVIC (SWE)</t>
  </si>
  <si>
    <t>[14] Daniel MAJSTOROVIC</t>
  </si>
  <si>
    <t>Olof MELLBERG (SWE)</t>
  </si>
  <si>
    <t>[ 3 ] Olof MELLBERG</t>
  </si>
  <si>
    <t>Mikael NILSSON (SWE)</t>
  </si>
  <si>
    <t>[ 2 ] Mikael NILSSON</t>
  </si>
  <si>
    <t>Fredrik STOOR (SWE)</t>
  </si>
  <si>
    <t>[ 5 ] Fredrik STOOR</t>
  </si>
  <si>
    <t>Niclas ALEXANDERSSON (SWE)</t>
  </si>
  <si>
    <t>[ 7 ] Niclas ALEXANDERSSON</t>
  </si>
  <si>
    <t>Daniel ANDERSSON (SWE)</t>
  </si>
  <si>
    <t>[19] Daniel ANDERSSON</t>
  </si>
  <si>
    <t>Kim KÄLLSTRÖM (SWE)</t>
  </si>
  <si>
    <t>[16] Kim KÄLLSTRÖM</t>
  </si>
  <si>
    <t>Sebastian LARSSON (SWE)</t>
  </si>
  <si>
    <t>[18] Sebastian LARSSON</t>
  </si>
  <si>
    <t>Tobias LINDEROTH (SWE)</t>
  </si>
  <si>
    <t>[ 6 ] Tobias LINDEROTH</t>
  </si>
  <si>
    <t>Fredrik LJUNGBERG (SWE)</t>
  </si>
  <si>
    <t>[ 9 ] Fredrik LJUNGBERG</t>
  </si>
  <si>
    <t>Anders SVENSSON (SWE)</t>
  </si>
  <si>
    <t>[ 8 ] Anders SVENSSON</t>
  </si>
  <si>
    <t>Christian WILHELMSSON (SWE)</t>
  </si>
  <si>
    <t>[21] Christian WILHELMSSON</t>
  </si>
  <si>
    <t>Marcus ALLBÄCK (SWE)</t>
  </si>
  <si>
    <t>[20] Marcus ALLBÄCK</t>
  </si>
  <si>
    <t>Johan ELMANDER (SWE)</t>
  </si>
  <si>
    <t>[11] Johan ELMANDER</t>
  </si>
  <si>
    <t>Zlatan IBRAHIMOVIC (SWE)</t>
  </si>
  <si>
    <t>[10] Zlatan IBRAHIMOVIC</t>
  </si>
  <si>
    <t>Henrik LARSSON (SWE)</t>
  </si>
  <si>
    <t>[17] Henrik LARSSON</t>
  </si>
  <si>
    <t>Markus ROSENBERG (SWE)</t>
  </si>
  <si>
    <t>[22] Markus ROSENBERG</t>
  </si>
  <si>
    <t>Iker CASILLAS (ESP)</t>
  </si>
  <si>
    <t>[ 1 ] Iker CASILLAS</t>
  </si>
  <si>
    <t>Andrés PALOP (ESP)</t>
  </si>
  <si>
    <t>[13] Andrés PALOP</t>
  </si>
  <si>
    <t>Pepe REINA  (ESP)</t>
  </si>
  <si>
    <t xml:space="preserve">[23] Pepe REINA </t>
  </si>
  <si>
    <t>Raúl ALBIOL (ESP)</t>
  </si>
  <si>
    <t>[ 2 ] Raúl ALBIOL</t>
  </si>
  <si>
    <t>Álvaro ARBELOA  (ESP)</t>
  </si>
  <si>
    <t xml:space="preserve">[18] Álvaro ARBELOA </t>
  </si>
  <si>
    <t>Joan CAPDEVILA  (ESP)</t>
  </si>
  <si>
    <t xml:space="preserve">[11] Joan CAPDEVILA </t>
  </si>
  <si>
    <t>JUANITO  (ESP)</t>
  </si>
  <si>
    <t xml:space="preserve">[20] JUANITO </t>
  </si>
  <si>
    <t>Carlos MARCHENA (ESP)</t>
  </si>
  <si>
    <t>[ 4 ] Carlos MARCHENA</t>
  </si>
  <si>
    <t>Fernando NAVARRO  (ESP)</t>
  </si>
  <si>
    <t xml:space="preserve">[ 3 ] Fernando NAVARRO </t>
  </si>
  <si>
    <t>Carles PUYOL  (ESP)</t>
  </si>
  <si>
    <t xml:space="preserve">[ 5 ] Carles PUYOL </t>
  </si>
  <si>
    <t>Sergio RAMOS  (ESP)</t>
  </si>
  <si>
    <t xml:space="preserve">[15] Sergio RAMOS </t>
  </si>
  <si>
    <t>Xabi ALONSO  (ESP)</t>
  </si>
  <si>
    <t xml:space="preserve">[14] Xabi ALONSO </t>
  </si>
  <si>
    <t>Santi  CAZORLA  (ESP)</t>
  </si>
  <si>
    <t xml:space="preserve">[12] Santi  CAZORLA </t>
  </si>
  <si>
    <t>Ruben DE LA RED (ESP)</t>
  </si>
  <si>
    <t>[22] Ruben DE LA RED</t>
  </si>
  <si>
    <t>Cesc FABREGAS (ESP)</t>
  </si>
  <si>
    <t>[10] Cesc FABREGAS</t>
  </si>
  <si>
    <t>Andrés INIESTA  (ESP)</t>
  </si>
  <si>
    <t xml:space="preserve">[ 6 ] Andrés INIESTA </t>
  </si>
  <si>
    <t>Marcos SENNA  (ESP)</t>
  </si>
  <si>
    <t xml:space="preserve">[19] Marcos SENNA </t>
  </si>
  <si>
    <t>David SILVA (ESP)</t>
  </si>
  <si>
    <t>[21] David SILVA</t>
  </si>
  <si>
    <t>XAVI  (ESP)</t>
  </si>
  <si>
    <t xml:space="preserve">[ 8 ] XAVI </t>
  </si>
  <si>
    <t>Sergio GARCIA  (ESP)</t>
  </si>
  <si>
    <t xml:space="preserve">[16] Sergio GARCIA </t>
  </si>
  <si>
    <t>Daniel GUIZA  (ESP)</t>
  </si>
  <si>
    <t xml:space="preserve">[17] Daniel GUIZA </t>
  </si>
  <si>
    <t>Fernando TORRES  (ESP)</t>
  </si>
  <si>
    <t xml:space="preserve">[ 9 ] Fernando TORRES </t>
  </si>
  <si>
    <t>David VILLA (ESP)</t>
  </si>
  <si>
    <t>[ 7 ] David VILLA</t>
  </si>
  <si>
    <t>Igor AKINFEEV (RUS)</t>
  </si>
  <si>
    <t>[ 1 ] Igor AKINFEEV</t>
  </si>
  <si>
    <t>Vladimir GABULOV (RUS)</t>
  </si>
  <si>
    <t>[12] Vladimir GABULOV</t>
  </si>
  <si>
    <t>Vyacheslav MALAFEEV (RUS)</t>
  </si>
  <si>
    <t>[16] Vyacheslav MALAFEEV</t>
  </si>
  <si>
    <t>Aleksandr ANYUKOV (RUS)</t>
  </si>
  <si>
    <t>[22] Aleksandr ANYUKOV</t>
  </si>
  <si>
    <t>Vasiliy BEREZUTSKIY (RUS)</t>
  </si>
  <si>
    <t>[ 2 ] Vasiliy BEREZUTSKIY</t>
  </si>
  <si>
    <t>Aleksey BEREZUTSKIY (RUS)</t>
  </si>
  <si>
    <t>[ 5 ] Aleksey BEREZUTSKIY</t>
  </si>
  <si>
    <t>Sergey IGNASHEVICH (RUS)</t>
  </si>
  <si>
    <t>[ 4 ] Sergey IGNASHEVICH</t>
  </si>
  <si>
    <t>Denis KOLODIN (RUS)</t>
  </si>
  <si>
    <t>[ 8 ] Denis KOLODIN</t>
  </si>
  <si>
    <t>Roman SHIROKOV (RUS)</t>
  </si>
  <si>
    <t>[14] Roman SHIROKOV</t>
  </si>
  <si>
    <t>Renat YANBAEV (RUS)</t>
  </si>
  <si>
    <t>[ 3 ] Renat YANBAEV</t>
  </si>
  <si>
    <t>Diniyar BILYALETDINOV (RUS)</t>
  </si>
  <si>
    <t>[15] Diniyar BILYALETDINOV</t>
  </si>
  <si>
    <t>Vladimir BYSTROV (RUS)</t>
  </si>
  <si>
    <t>[23] Vladimir BYSTROV</t>
  </si>
  <si>
    <t>Sergey SEMAK (RUS)</t>
  </si>
  <si>
    <t>[11] Sergey SEMAK</t>
  </si>
  <si>
    <t>Igor SEMSHOV (RUS)</t>
  </si>
  <si>
    <t>[20] Igor SEMSHOV</t>
  </si>
  <si>
    <t>Dmitriy TORBINSKIY (RUS)</t>
  </si>
  <si>
    <t>[ 7 ] Dmitriy TORBINSKIY</t>
  </si>
  <si>
    <t>Yuriy ZHIRKOV (RUS)</t>
  </si>
  <si>
    <t>[18] Yuriy ZHIRKOV</t>
  </si>
  <si>
    <t>Konstantin ZYRYANOV (RUS)</t>
  </si>
  <si>
    <t>[17] Konstantin ZYRYANOV</t>
  </si>
  <si>
    <t>Roman ADAMOV (RUS)</t>
  </si>
  <si>
    <t>[ 6 ] Roman ADAMOV</t>
  </si>
  <si>
    <t>Andrey ARSHAVIN (RUS)</t>
  </si>
  <si>
    <t>[10] Andrey ARSHAVIN</t>
  </si>
  <si>
    <t>Roman PAVLYUCHENKO (RUS)</t>
  </si>
  <si>
    <t>[19] Roman PAVLYUCHENKO</t>
  </si>
  <si>
    <t>Pavel POGREBNYAK (RUS)</t>
  </si>
  <si>
    <t>[13] Pavel POGREBNYAK</t>
  </si>
  <si>
    <t>Ivan SAENKO (RUS)</t>
  </si>
  <si>
    <t>[ 9 ] Ivan SAENKO</t>
  </si>
  <si>
    <t>Dmitriy SYCHEV (RUS)</t>
  </si>
  <si>
    <t>[21] Dmitriy SYCHEV</t>
  </si>
  <si>
    <t/>
  </si>
  <si>
    <t>Alexander Schmidt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</si>
</sst>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,\ dd/mm/yyyy"/>
    <numFmt numFmtId="165" formatCode="&quot;:  &quot;@"/>
    <numFmt numFmtId="166" formatCode="0&quot; :&quot;"/>
    <numFmt numFmtId="167" formatCode=";;;"/>
    <numFmt numFmtId="168" formatCode="ddd/\,\ dd/mm/yyyy"/>
    <numFmt numFmtId="169" formatCode="[Blue]\+\ ?0;[Red]\-\ ?0;[Black]0"/>
    <numFmt numFmtId="170" formatCode="?0"/>
    <numFmt numFmtId="171" formatCode="&quot;(&quot;0&quot; :&quot;"/>
    <numFmt numFmtId="172" formatCode="0&quot;)&quot;"/>
    <numFmt numFmtId="173" formatCode="&quot;: &quot;?0"/>
    <numFmt numFmtId="174" formatCode="??0"/>
    <numFmt numFmtId="175" formatCode="&quot;: &quot;??0"/>
    <numFmt numFmtId="176" formatCode="?0.00"/>
    <numFmt numFmtId="177" formatCode=";;;@"/>
    <numFmt numFmtId="178" formatCode="&quot;/ &quot;?0"/>
    <numFmt numFmtId="179" formatCode="&quot;(&quot;??0.0\ %&quot;)&quot;"/>
    <numFmt numFmtId="180" formatCode="[=1]&quot;100 %&quot;;?0.0\ %"/>
    <numFmt numFmtId="181" formatCode="hh:mm\ &quot;Uhr&quot;;@"/>
    <numFmt numFmtId="182" formatCode="0.0%"/>
    <numFmt numFmtId="183" formatCode="&quot;( &quot;0.0\ %&quot; )&quot;"/>
    <numFmt numFmtId="184" formatCode="&quot;( &quot;??0.0\ %&quot; )&quot;"/>
    <numFmt numFmtId="185" formatCode="??0.0\ %"/>
    <numFmt numFmtId="186" formatCode="?\="/>
    <numFmt numFmtId="187" formatCode="&quot; ( &quot;??0.0\ %&quot; )&quot;"/>
    <numFmt numFmtId="188" formatCode="&quot;: &quot;@"/>
    <numFmt numFmtId="189" formatCode="&quot;: &quot;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=1]?0&quot; Punkt&quot;;?0&quot; Punkte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9"/>
      <color indexed="13"/>
      <name val="Tahoma"/>
      <family val="2"/>
    </font>
    <font>
      <b/>
      <sz val="9"/>
      <color indexed="9"/>
      <name val="Tahoma"/>
      <family val="2"/>
    </font>
    <font>
      <sz val="8"/>
      <color indexed="56"/>
      <name val="Tahoma"/>
      <family val="2"/>
    </font>
    <font>
      <b/>
      <sz val="8"/>
      <name val="Tahoma"/>
      <family val="2"/>
    </font>
    <font>
      <b/>
      <sz val="16"/>
      <color indexed="28"/>
      <name val="Tahoma"/>
      <family val="2"/>
    </font>
    <font>
      <b/>
      <sz val="8"/>
      <color indexed="16"/>
      <name val="Tahoma"/>
      <family val="2"/>
    </font>
    <font>
      <sz val="10"/>
      <color indexed="16"/>
      <name val="Arial"/>
      <family val="0"/>
    </font>
    <font>
      <b/>
      <sz val="9"/>
      <color indexed="13"/>
      <name val="Arial"/>
      <family val="2"/>
    </font>
    <font>
      <b/>
      <sz val="9"/>
      <color indexed="12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color indexed="6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color indexed="63"/>
      <name val="Tahoma"/>
      <family val="2"/>
    </font>
    <font>
      <b/>
      <sz val="10"/>
      <color indexed="60"/>
      <name val="Arial"/>
      <family val="2"/>
    </font>
    <font>
      <b/>
      <sz val="8"/>
      <color indexed="18"/>
      <name val="Tahoma"/>
      <family val="2"/>
    </font>
    <font>
      <sz val="10"/>
      <color indexed="12"/>
      <name val="Arial"/>
      <family val="0"/>
    </font>
    <font>
      <b/>
      <sz val="8"/>
      <color indexed="28"/>
      <name val="Tahoma"/>
      <family val="2"/>
    </font>
    <font>
      <sz val="10"/>
      <color indexed="8"/>
      <name val="Arial"/>
      <family val="0"/>
    </font>
    <font>
      <b/>
      <sz val="9"/>
      <color indexed="20"/>
      <name val="Tahoma"/>
      <family val="2"/>
    </font>
    <font>
      <b/>
      <sz val="16"/>
      <color indexed="37"/>
      <name val="Tahoma"/>
      <family val="2"/>
    </font>
    <font>
      <b/>
      <sz val="9"/>
      <color indexed="60"/>
      <name val="Tahoma"/>
      <family val="2"/>
    </font>
    <font>
      <b/>
      <sz val="8"/>
      <color indexed="37"/>
      <name val="Tahoma"/>
      <family val="2"/>
    </font>
    <font>
      <b/>
      <sz val="9"/>
      <color indexed="16"/>
      <name val="Tahoma"/>
      <family val="2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6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3"/>
      <name val="Tahoma"/>
      <family val="2"/>
    </font>
    <font>
      <sz val="10"/>
      <name val="Tahoma"/>
      <family val="2"/>
    </font>
    <font>
      <b/>
      <sz val="10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62"/>
      <name val="Tahoma"/>
      <family val="2"/>
    </font>
    <font>
      <b/>
      <sz val="8"/>
      <color indexed="13"/>
      <name val="Tahoma"/>
      <family val="2"/>
    </font>
    <font>
      <b/>
      <sz val="8"/>
      <color indexed="54"/>
      <name val="Tahoma"/>
      <family val="2"/>
    </font>
    <font>
      <b/>
      <sz val="8"/>
      <color indexed="23"/>
      <name val="Tahoma"/>
      <family val="2"/>
    </font>
    <font>
      <b/>
      <sz val="8"/>
      <color indexed="2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3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"/>
      <family val="0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color indexed="1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63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/>
    </xf>
    <xf numFmtId="169" fontId="8" fillId="5" borderId="6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right"/>
    </xf>
    <xf numFmtId="0" fontId="8" fillId="5" borderId="9" xfId="0" applyFont="1" applyFill="1" applyBorder="1" applyAlignment="1">
      <alignment horizontal="left"/>
    </xf>
    <xf numFmtId="169" fontId="8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66" fontId="16" fillId="7" borderId="6" xfId="0" applyNumberFormat="1" applyFont="1" applyFill="1" applyBorder="1" applyAlignment="1">
      <alignment horizontal="right"/>
    </xf>
    <xf numFmtId="0" fontId="16" fillId="7" borderId="6" xfId="0" applyFont="1" applyFill="1" applyBorder="1" applyAlignment="1">
      <alignment horizontal="left"/>
    </xf>
    <xf numFmtId="169" fontId="16" fillId="7" borderId="6" xfId="0" applyNumberFormat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8" fillId="6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166" fontId="16" fillId="7" borderId="9" xfId="0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left"/>
    </xf>
    <xf numFmtId="169" fontId="16" fillId="7" borderId="9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67" fontId="16" fillId="0" borderId="0" xfId="0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10" borderId="0" xfId="0" applyFill="1" applyAlignment="1">
      <alignment/>
    </xf>
    <xf numFmtId="0" fontId="26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6" fontId="8" fillId="11" borderId="6" xfId="0" applyNumberFormat="1" applyFont="1" applyFill="1" applyBorder="1" applyAlignment="1">
      <alignment horizontal="right"/>
    </xf>
    <xf numFmtId="0" fontId="8" fillId="11" borderId="6" xfId="0" applyFont="1" applyFill="1" applyBorder="1" applyAlignment="1">
      <alignment horizontal="left"/>
    </xf>
    <xf numFmtId="169" fontId="8" fillId="11" borderId="6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6" fontId="8" fillId="11" borderId="9" xfId="0" applyNumberFormat="1" applyFont="1" applyFill="1" applyBorder="1" applyAlignment="1">
      <alignment horizontal="right"/>
    </xf>
    <xf numFmtId="0" fontId="8" fillId="11" borderId="9" xfId="0" applyFont="1" applyFill="1" applyBorder="1" applyAlignment="1">
      <alignment horizontal="left"/>
    </xf>
    <xf numFmtId="169" fontId="8" fillId="11" borderId="9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/>
    </xf>
    <xf numFmtId="167" fontId="10" fillId="2" borderId="0" xfId="0" applyNumberFormat="1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6" fillId="12" borderId="0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1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right" vertical="center"/>
    </xf>
    <xf numFmtId="188" fontId="31" fillId="12" borderId="0" xfId="0" applyNumberFormat="1" applyFont="1" applyFill="1" applyBorder="1" applyAlignment="1">
      <alignment horizontal="left" vertical="center"/>
    </xf>
    <xf numFmtId="0" fontId="31" fillId="12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31" fillId="13" borderId="12" xfId="0" applyFont="1" applyFill="1" applyBorder="1" applyAlignment="1">
      <alignment horizontal="right" vertical="center"/>
    </xf>
    <xf numFmtId="0" fontId="40" fillId="2" borderId="0" xfId="0" applyFont="1" applyFill="1" applyAlignment="1">
      <alignment/>
    </xf>
    <xf numFmtId="0" fontId="36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2" fillId="12" borderId="0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/>
    </xf>
    <xf numFmtId="0" fontId="36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37" fillId="7" borderId="11" xfId="0" applyFont="1" applyFill="1" applyBorder="1" applyAlignment="1">
      <alignment/>
    </xf>
    <xf numFmtId="0" fontId="0" fillId="7" borderId="16" xfId="0" applyFill="1" applyBorder="1" applyAlignment="1">
      <alignment/>
    </xf>
    <xf numFmtId="0" fontId="37" fillId="7" borderId="17" xfId="0" applyFont="1" applyFill="1" applyBorder="1" applyAlignment="1">
      <alignment/>
    </xf>
    <xf numFmtId="0" fontId="37" fillId="7" borderId="18" xfId="0" applyFont="1" applyFill="1" applyBorder="1" applyAlignment="1">
      <alignment/>
    </xf>
    <xf numFmtId="0" fontId="35" fillId="7" borderId="18" xfId="0" applyFont="1" applyFill="1" applyBorder="1" applyAlignment="1">
      <alignment/>
    </xf>
    <xf numFmtId="0" fontId="36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36" fillId="12" borderId="13" xfId="0" applyFont="1" applyFill="1" applyBorder="1" applyAlignment="1">
      <alignment/>
    </xf>
    <xf numFmtId="0" fontId="38" fillId="12" borderId="14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0" fillId="12" borderId="15" xfId="0" applyFill="1" applyBorder="1" applyAlignment="1">
      <alignment/>
    </xf>
    <xf numFmtId="0" fontId="36" fillId="12" borderId="11" xfId="0" applyFon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39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right" vertical="center"/>
    </xf>
    <xf numFmtId="188" fontId="31" fillId="13" borderId="22" xfId="0" applyNumberFormat="1" applyFont="1" applyFill="1" applyBorder="1" applyAlignment="1">
      <alignment horizontal="left" vertical="center"/>
    </xf>
    <xf numFmtId="0" fontId="39" fillId="13" borderId="23" xfId="0" applyFont="1" applyFill="1" applyBorder="1" applyAlignment="1">
      <alignment horizontal="center" vertical="center"/>
    </xf>
    <xf numFmtId="188" fontId="31" fillId="13" borderId="24" xfId="0" applyNumberFormat="1" applyFont="1" applyFill="1" applyBorder="1" applyAlignment="1">
      <alignment horizontal="left" vertical="center"/>
    </xf>
    <xf numFmtId="0" fontId="39" fillId="13" borderId="2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right" vertical="center"/>
    </xf>
    <xf numFmtId="188" fontId="31" fillId="13" borderId="27" xfId="0" applyNumberFormat="1" applyFont="1" applyFill="1" applyBorder="1" applyAlignment="1">
      <alignment horizontal="left" vertical="center"/>
    </xf>
    <xf numFmtId="0" fontId="39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right" vertical="center"/>
    </xf>
    <xf numFmtId="188" fontId="31" fillId="14" borderId="22" xfId="0" applyNumberFormat="1" applyFont="1" applyFill="1" applyBorder="1" applyAlignment="1">
      <alignment horizontal="left" vertical="center"/>
    </xf>
    <xf numFmtId="0" fontId="39" fillId="14" borderId="25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right" vertical="center"/>
    </xf>
    <xf numFmtId="188" fontId="31" fillId="14" borderId="27" xfId="0" applyNumberFormat="1" applyFont="1" applyFill="1" applyBorder="1" applyAlignment="1">
      <alignment horizontal="left" vertical="center"/>
    </xf>
    <xf numFmtId="0" fontId="39" fillId="15" borderId="28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right" vertical="center"/>
    </xf>
    <xf numFmtId="188" fontId="31" fillId="15" borderId="30" xfId="0" applyNumberFormat="1" applyFont="1" applyFill="1" applyBorder="1" applyAlignment="1">
      <alignment horizontal="left" vertical="center"/>
    </xf>
    <xf numFmtId="166" fontId="42" fillId="13" borderId="31" xfId="0" applyNumberFormat="1" applyFont="1" applyFill="1" applyBorder="1" applyAlignment="1" applyProtection="1">
      <alignment/>
      <protection locked="0"/>
    </xf>
    <xf numFmtId="0" fontId="42" fillId="13" borderId="32" xfId="0" applyFont="1" applyFill="1" applyBorder="1" applyAlignment="1" applyProtection="1">
      <alignment horizontal="left"/>
      <protection locked="0"/>
    </xf>
    <xf numFmtId="166" fontId="42" fillId="13" borderId="33" xfId="0" applyNumberFormat="1" applyFont="1" applyFill="1" applyBorder="1" applyAlignment="1" applyProtection="1">
      <alignment/>
      <protection locked="0"/>
    </xf>
    <xf numFmtId="0" fontId="42" fillId="13" borderId="34" xfId="0" applyFont="1" applyFill="1" applyBorder="1" applyAlignment="1" applyProtection="1">
      <alignment horizontal="left"/>
      <protection locked="0"/>
    </xf>
    <xf numFmtId="166" fontId="42" fillId="13" borderId="35" xfId="0" applyNumberFormat="1" applyFont="1" applyFill="1" applyBorder="1" applyAlignment="1" applyProtection="1">
      <alignment/>
      <protection locked="0"/>
    </xf>
    <xf numFmtId="0" fontId="42" fillId="13" borderId="36" xfId="0" applyFont="1" applyFill="1" applyBorder="1" applyAlignment="1" applyProtection="1">
      <alignment horizontal="left"/>
      <protection locked="0"/>
    </xf>
    <xf numFmtId="166" fontId="42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6" fontId="42" fillId="10" borderId="31" xfId="0" applyNumberFormat="1" applyFont="1" applyFill="1" applyBorder="1" applyAlignment="1" applyProtection="1">
      <alignment/>
      <protection locked="0"/>
    </xf>
    <xf numFmtId="0" fontId="42" fillId="10" borderId="32" xfId="0" applyFont="1" applyFill="1" applyBorder="1" applyAlignment="1" applyProtection="1">
      <alignment horizontal="left"/>
      <protection locked="0"/>
    </xf>
    <xf numFmtId="166" fontId="42" fillId="10" borderId="33" xfId="0" applyNumberFormat="1" applyFont="1" applyFill="1" applyBorder="1" applyAlignment="1" applyProtection="1">
      <alignment/>
      <protection locked="0"/>
    </xf>
    <xf numFmtId="0" fontId="42" fillId="10" borderId="34" xfId="0" applyFont="1" applyFill="1" applyBorder="1" applyAlignment="1" applyProtection="1">
      <alignment horizontal="left"/>
      <protection locked="0"/>
    </xf>
    <xf numFmtId="166" fontId="42" fillId="10" borderId="35" xfId="0" applyNumberFormat="1" applyFont="1" applyFill="1" applyBorder="1" applyAlignment="1" applyProtection="1">
      <alignment/>
      <protection locked="0"/>
    </xf>
    <xf numFmtId="0" fontId="42" fillId="10" borderId="36" xfId="0" applyFont="1" applyFill="1" applyBorder="1" applyAlignment="1" applyProtection="1">
      <alignment horizontal="left"/>
      <protection locked="0"/>
    </xf>
    <xf numFmtId="0" fontId="43" fillId="2" borderId="0" xfId="0" applyFont="1" applyFill="1" applyAlignment="1">
      <alignment/>
    </xf>
    <xf numFmtId="0" fontId="32" fillId="2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189" fontId="31" fillId="16" borderId="37" xfId="0" applyNumberFormat="1" applyFont="1" applyFill="1" applyBorder="1" applyAlignment="1" applyProtection="1">
      <alignment horizontal="left" vertical="center"/>
      <protection locked="0"/>
    </xf>
    <xf numFmtId="189" fontId="31" fillId="16" borderId="38" xfId="0" applyNumberFormat="1" applyFont="1" applyFill="1" applyBorder="1" applyAlignment="1" applyProtection="1">
      <alignment horizontal="left" vertical="center"/>
      <protection locked="0"/>
    </xf>
    <xf numFmtId="189" fontId="31" fillId="16" borderId="39" xfId="0" applyNumberFormat="1" applyFont="1" applyFill="1" applyBorder="1" applyAlignment="1" applyProtection="1">
      <alignment horizontal="left" vertical="center"/>
      <protection locked="0"/>
    </xf>
    <xf numFmtId="189" fontId="31" fillId="5" borderId="37" xfId="0" applyNumberFormat="1" applyFont="1" applyFill="1" applyBorder="1" applyAlignment="1" applyProtection="1">
      <alignment horizontal="left" vertical="center"/>
      <protection locked="0"/>
    </xf>
    <xf numFmtId="189" fontId="31" fillId="5" borderId="39" xfId="0" applyNumberFormat="1" applyFont="1" applyFill="1" applyBorder="1" applyAlignment="1" applyProtection="1">
      <alignment horizontal="left" vertical="center"/>
      <protection locked="0"/>
    </xf>
    <xf numFmtId="189" fontId="31" fillId="11" borderId="40" xfId="0" applyNumberFormat="1" applyFont="1" applyFill="1" applyBorder="1" applyAlignment="1" applyProtection="1">
      <alignment horizontal="left" vertical="center"/>
      <protection locked="0"/>
    </xf>
    <xf numFmtId="0" fontId="31" fillId="5" borderId="20" xfId="0" applyFont="1" applyFill="1" applyBorder="1" applyAlignment="1" applyProtection="1">
      <alignment horizontal="right" vertical="center"/>
      <protection locked="0"/>
    </xf>
    <xf numFmtId="0" fontId="31" fillId="5" borderId="25" xfId="0" applyFont="1" applyFill="1" applyBorder="1" applyAlignment="1" applyProtection="1">
      <alignment horizontal="right" vertical="center"/>
      <protection locked="0"/>
    </xf>
    <xf numFmtId="0" fontId="31" fillId="11" borderId="28" xfId="0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0" fontId="31" fillId="12" borderId="0" xfId="0" applyFont="1" applyFill="1" applyAlignment="1">
      <alignment horizontal="center" vertical="center" wrapText="1"/>
    </xf>
    <xf numFmtId="0" fontId="31" fillId="12" borderId="0" xfId="0" applyNumberFormat="1" applyFont="1" applyFill="1" applyAlignment="1">
      <alignment horizontal="center" vertical="center" wrapText="1"/>
    </xf>
    <xf numFmtId="0" fontId="31" fillId="16" borderId="42" xfId="0" applyFont="1" applyFill="1" applyBorder="1" applyAlignment="1" applyProtection="1">
      <alignment horizontal="center" vertical="center"/>
      <protection locked="0"/>
    </xf>
    <xf numFmtId="0" fontId="31" fillId="16" borderId="43" xfId="0" applyFont="1" applyFill="1" applyBorder="1" applyAlignment="1" applyProtection="1">
      <alignment horizontal="center" vertical="center"/>
      <protection locked="0"/>
    </xf>
    <xf numFmtId="0" fontId="31" fillId="16" borderId="44" xfId="0" applyFont="1" applyFill="1" applyBorder="1" applyAlignment="1" applyProtection="1">
      <alignment horizontal="center" vertical="center"/>
      <protection locked="0"/>
    </xf>
    <xf numFmtId="0" fontId="31" fillId="5" borderId="42" xfId="0" applyFont="1" applyFill="1" applyBorder="1" applyAlignment="1" applyProtection="1">
      <alignment horizontal="center" vertical="center"/>
      <protection locked="0"/>
    </xf>
    <xf numFmtId="0" fontId="31" fillId="5" borderId="44" xfId="0" applyFont="1" applyFill="1" applyBorder="1" applyAlignment="1" applyProtection="1">
      <alignment horizontal="center" vertical="center"/>
      <protection locked="0"/>
    </xf>
    <xf numFmtId="0" fontId="31" fillId="11" borderId="45" xfId="0" applyFont="1" applyFill="1" applyBorder="1" applyAlignment="1" applyProtection="1">
      <alignment horizontal="center" vertical="center"/>
      <protection locked="0"/>
    </xf>
    <xf numFmtId="0" fontId="31" fillId="16" borderId="20" xfId="0" applyFont="1" applyFill="1" applyBorder="1" applyAlignment="1" applyProtection="1">
      <alignment horizontal="right" vertical="center"/>
      <protection locked="0"/>
    </xf>
    <xf numFmtId="0" fontId="31" fillId="16" borderId="23" xfId="0" applyFont="1" applyFill="1" applyBorder="1" applyAlignment="1" applyProtection="1">
      <alignment horizontal="right" vertical="center"/>
      <protection locked="0"/>
    </xf>
    <xf numFmtId="0" fontId="31" fillId="16" borderId="25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31" fillId="0" borderId="47" xfId="0" applyFont="1" applyBorder="1" applyAlignment="1">
      <alignment/>
    </xf>
    <xf numFmtId="0" fontId="0" fillId="0" borderId="47" xfId="0" applyBorder="1" applyAlignment="1">
      <alignment/>
    </xf>
    <xf numFmtId="0" fontId="22" fillId="7" borderId="0" xfId="0" applyFont="1" applyFill="1" applyBorder="1" applyAlignment="1">
      <alignment horizontal="left" indent="1"/>
    </xf>
    <xf numFmtId="0" fontId="44" fillId="7" borderId="0" xfId="0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/>
    </xf>
    <xf numFmtId="0" fontId="46" fillId="7" borderId="0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left" indent="1"/>
    </xf>
    <xf numFmtId="0" fontId="47" fillId="7" borderId="0" xfId="0" applyFont="1" applyFill="1" applyBorder="1" applyAlignment="1">
      <alignment/>
    </xf>
    <xf numFmtId="0" fontId="47" fillId="7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16" borderId="48" xfId="0" applyFont="1" applyFill="1" applyBorder="1" applyAlignment="1" applyProtection="1">
      <alignment horizontal="center" vertical="center"/>
      <protection locked="0"/>
    </xf>
    <xf numFmtId="0" fontId="31" fillId="16" borderId="49" xfId="0" applyFont="1" applyFill="1" applyBorder="1" applyAlignment="1" applyProtection="1">
      <alignment horizontal="center" vertical="center"/>
      <protection locked="0"/>
    </xf>
    <xf numFmtId="0" fontId="31" fillId="16" borderId="50" xfId="0" applyFont="1" applyFill="1" applyBorder="1" applyAlignment="1" applyProtection="1">
      <alignment horizontal="center" vertical="center"/>
      <protection locked="0"/>
    </xf>
    <xf numFmtId="0" fontId="31" fillId="5" borderId="48" xfId="0" applyFont="1" applyFill="1" applyBorder="1" applyAlignment="1" applyProtection="1">
      <alignment horizontal="center" vertical="center"/>
      <protection locked="0"/>
    </xf>
    <xf numFmtId="0" fontId="31" fillId="11" borderId="51" xfId="0" applyFont="1" applyFill="1" applyBorder="1" applyAlignment="1" applyProtection="1">
      <alignment horizontal="center" vertical="center"/>
      <protection locked="0"/>
    </xf>
    <xf numFmtId="0" fontId="48" fillId="12" borderId="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right" vertical="center"/>
    </xf>
    <xf numFmtId="188" fontId="31" fillId="16" borderId="22" xfId="0" applyNumberFormat="1" applyFont="1" applyFill="1" applyBorder="1" applyAlignment="1">
      <alignment horizontal="left" vertical="center"/>
    </xf>
    <xf numFmtId="0" fontId="31" fillId="16" borderId="23" xfId="0" applyFont="1" applyFill="1" applyBorder="1" applyAlignment="1">
      <alignment horizontal="right" vertical="center"/>
    </xf>
    <xf numFmtId="188" fontId="31" fillId="16" borderId="24" xfId="0" applyNumberFormat="1" applyFont="1" applyFill="1" applyBorder="1" applyAlignment="1">
      <alignment horizontal="left" vertical="center"/>
    </xf>
    <xf numFmtId="0" fontId="31" fillId="16" borderId="25" xfId="0" applyFont="1" applyFill="1" applyBorder="1" applyAlignment="1">
      <alignment horizontal="right" vertical="center"/>
    </xf>
    <xf numFmtId="188" fontId="31" fillId="16" borderId="27" xfId="0" applyNumberFormat="1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right" vertical="center"/>
    </xf>
    <xf numFmtId="0" fontId="31" fillId="5" borderId="23" xfId="0" applyFont="1" applyFill="1" applyBorder="1" applyAlignment="1">
      <alignment horizontal="right" vertical="center"/>
    </xf>
    <xf numFmtId="0" fontId="31" fillId="11" borderId="2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/>
    </xf>
    <xf numFmtId="0" fontId="0" fillId="12" borderId="0" xfId="0" applyNumberFormat="1" applyFill="1" applyAlignment="1">
      <alignment/>
    </xf>
    <xf numFmtId="0" fontId="31" fillId="16" borderId="20" xfId="0" applyFont="1" applyFill="1" applyBorder="1" applyAlignment="1" applyProtection="1">
      <alignment vertical="center"/>
      <protection locked="0"/>
    </xf>
    <xf numFmtId="0" fontId="31" fillId="16" borderId="23" xfId="0" applyFont="1" applyFill="1" applyBorder="1" applyAlignment="1" applyProtection="1">
      <alignment vertical="center"/>
      <protection locked="0"/>
    </xf>
    <xf numFmtId="0" fontId="31" fillId="16" borderId="25" xfId="0" applyFont="1" applyFill="1" applyBorder="1" applyAlignment="1" applyProtection="1">
      <alignment vertical="center"/>
      <protection locked="0"/>
    </xf>
    <xf numFmtId="0" fontId="31" fillId="5" borderId="20" xfId="0" applyFont="1" applyFill="1" applyBorder="1" applyAlignment="1" applyProtection="1">
      <alignment vertical="center"/>
      <protection locked="0"/>
    </xf>
    <xf numFmtId="0" fontId="31" fillId="5" borderId="25" xfId="0" applyFont="1" applyFill="1" applyBorder="1" applyAlignment="1" applyProtection="1">
      <alignment vertical="center"/>
      <protection locked="0"/>
    </xf>
    <xf numFmtId="0" fontId="0" fillId="12" borderId="14" xfId="0" applyFill="1" applyBorder="1" applyAlignment="1">
      <alignment/>
    </xf>
    <xf numFmtId="0" fontId="49" fillId="12" borderId="0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188" fontId="31" fillId="16" borderId="22" xfId="0" applyNumberFormat="1" applyFont="1" applyFill="1" applyBorder="1" applyAlignment="1" applyProtection="1">
      <alignment horizontal="left" vertical="center"/>
      <protection locked="0"/>
    </xf>
    <xf numFmtId="188" fontId="31" fillId="16" borderId="24" xfId="0" applyNumberFormat="1" applyFont="1" applyFill="1" applyBorder="1" applyAlignment="1" applyProtection="1">
      <alignment horizontal="left" vertical="center"/>
      <protection locked="0"/>
    </xf>
    <xf numFmtId="188" fontId="31" fillId="16" borderId="27" xfId="0" applyNumberFormat="1" applyFont="1" applyFill="1" applyBorder="1" applyAlignment="1" applyProtection="1">
      <alignment horizontal="left" vertical="center"/>
      <protection locked="0"/>
    </xf>
    <xf numFmtId="188" fontId="31" fillId="5" borderId="22" xfId="0" applyNumberFormat="1" applyFont="1" applyFill="1" applyBorder="1" applyAlignment="1" applyProtection="1">
      <alignment horizontal="left" vertical="center"/>
      <protection locked="0"/>
    </xf>
    <xf numFmtId="188" fontId="31" fillId="5" borderId="27" xfId="0" applyNumberFormat="1" applyFont="1" applyFill="1" applyBorder="1" applyAlignment="1" applyProtection="1">
      <alignment horizontal="left" vertical="center"/>
      <protection locked="0"/>
    </xf>
    <xf numFmtId="188" fontId="31" fillId="11" borderId="30" xfId="0" applyNumberFormat="1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188" fontId="31" fillId="5" borderId="22" xfId="0" applyNumberFormat="1" applyFont="1" applyFill="1" applyBorder="1" applyAlignment="1">
      <alignment horizontal="left" vertical="center"/>
    </xf>
    <xf numFmtId="188" fontId="31" fillId="5" borderId="24" xfId="0" applyNumberFormat="1" applyFont="1" applyFill="1" applyBorder="1" applyAlignment="1">
      <alignment horizontal="left" vertical="center"/>
    </xf>
    <xf numFmtId="188" fontId="31" fillId="11" borderId="22" xfId="0" applyNumberFormat="1" applyFont="1" applyFill="1" applyBorder="1" applyAlignment="1">
      <alignment horizontal="left" vertical="center" wrapText="1"/>
    </xf>
    <xf numFmtId="0" fontId="31" fillId="16" borderId="52" xfId="0" applyFont="1" applyFill="1" applyBorder="1" applyAlignment="1" applyProtection="1">
      <alignment horizontal="center" vertical="center"/>
      <protection locked="0"/>
    </xf>
    <xf numFmtId="0" fontId="31" fillId="5" borderId="52" xfId="0" applyFont="1" applyFill="1" applyBorder="1" applyAlignment="1" applyProtection="1">
      <alignment horizontal="center" vertical="center"/>
      <protection locked="0"/>
    </xf>
    <xf numFmtId="0" fontId="31" fillId="16" borderId="53" xfId="0" applyFont="1" applyFill="1" applyBorder="1" applyAlignment="1" applyProtection="1">
      <alignment horizontal="center" vertical="center"/>
      <protection locked="0"/>
    </xf>
    <xf numFmtId="0" fontId="31" fillId="5" borderId="53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/>
      <protection locked="0"/>
    </xf>
    <xf numFmtId="0" fontId="31" fillId="12" borderId="0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1" borderId="28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right" vertical="center"/>
      <protection locked="0"/>
    </xf>
    <xf numFmtId="188" fontId="31" fillId="12" borderId="0" xfId="0" applyNumberFormat="1" applyFont="1" applyFill="1" applyBorder="1" applyAlignment="1" applyProtection="1">
      <alignment horizontal="left" vertical="center"/>
      <protection locked="0"/>
    </xf>
    <xf numFmtId="0" fontId="54" fillId="2" borderId="0" xfId="0" applyFont="1" applyFill="1" applyAlignment="1">
      <alignment/>
    </xf>
    <xf numFmtId="0" fontId="51" fillId="2" borderId="0" xfId="0" applyFont="1" applyFill="1" applyBorder="1" applyAlignment="1">
      <alignment horizontal="left"/>
    </xf>
    <xf numFmtId="0" fontId="51" fillId="12" borderId="14" xfId="0" applyFont="1" applyFill="1" applyBorder="1" applyAlignment="1">
      <alignment/>
    </xf>
    <xf numFmtId="0" fontId="52" fillId="2" borderId="0" xfId="0" applyFont="1" applyFill="1" applyAlignment="1">
      <alignment horizontal="right"/>
    </xf>
    <xf numFmtId="166" fontId="0" fillId="0" borderId="0" xfId="0" applyNumberFormat="1" applyAlignment="1">
      <alignment/>
    </xf>
    <xf numFmtId="0" fontId="55" fillId="7" borderId="54" xfId="0" applyFont="1" applyFill="1" applyBorder="1" applyAlignment="1">
      <alignment horizontal="centerContinuous" vertical="center"/>
    </xf>
    <xf numFmtId="0" fontId="55" fillId="7" borderId="55" xfId="0" applyFont="1" applyFill="1" applyBorder="1" applyAlignment="1">
      <alignment horizontal="centerContinuous" vertical="center"/>
    </xf>
    <xf numFmtId="0" fontId="56" fillId="2" borderId="0" xfId="0" applyFont="1" applyFill="1" applyAlignment="1">
      <alignment/>
    </xf>
    <xf numFmtId="0" fontId="55" fillId="2" borderId="56" xfId="0" applyFont="1" applyFill="1" applyBorder="1" applyAlignment="1">
      <alignment horizontal="centerContinuous" vertical="center"/>
    </xf>
    <xf numFmtId="0" fontId="55" fillId="2" borderId="57" xfId="0" applyFont="1" applyFill="1" applyBorder="1" applyAlignment="1">
      <alignment horizontal="centerContinuous" vertical="center"/>
    </xf>
    <xf numFmtId="0" fontId="55" fillId="17" borderId="54" xfId="0" applyFont="1" applyFill="1" applyBorder="1" applyAlignment="1">
      <alignment horizontal="centerContinuous" vertical="center"/>
    </xf>
    <xf numFmtId="0" fontId="55" fillId="17" borderId="55" xfId="0" applyFont="1" applyFill="1" applyBorder="1" applyAlignment="1">
      <alignment horizontal="centerContinuous" vertical="center"/>
    </xf>
    <xf numFmtId="0" fontId="55" fillId="17" borderId="58" xfId="0" applyFont="1" applyFill="1" applyBorder="1" applyAlignment="1">
      <alignment horizontal="centerContinuous" vertical="center"/>
    </xf>
    <xf numFmtId="0" fontId="55" fillId="17" borderId="59" xfId="0" applyFont="1" applyFill="1" applyBorder="1" applyAlignment="1">
      <alignment horizontal="centerContinuous" vertical="center"/>
    </xf>
    <xf numFmtId="194" fontId="31" fillId="6" borderId="60" xfId="0" applyNumberFormat="1" applyFont="1" applyFill="1" applyBorder="1" applyAlignment="1" applyProtection="1">
      <alignment horizontal="center" vertical="center"/>
      <protection/>
    </xf>
    <xf numFmtId="0" fontId="31" fillId="7" borderId="61" xfId="0" applyFont="1" applyFill="1" applyBorder="1" applyAlignment="1" applyProtection="1">
      <alignment horizontal="center" vertical="center"/>
      <protection/>
    </xf>
    <xf numFmtId="194" fontId="31" fillId="6" borderId="62" xfId="0" applyNumberFormat="1" applyFont="1" applyFill="1" applyBorder="1" applyAlignment="1" applyProtection="1">
      <alignment horizontal="center" vertical="center"/>
      <protection/>
    </xf>
    <xf numFmtId="194" fontId="31" fillId="6" borderId="63" xfId="0" applyNumberFormat="1" applyFont="1" applyFill="1" applyBorder="1" applyAlignment="1" applyProtection="1">
      <alignment horizontal="center" vertical="center"/>
      <protection/>
    </xf>
    <xf numFmtId="194" fontId="31" fillId="6" borderId="64" xfId="0" applyNumberFormat="1" applyFont="1" applyFill="1" applyBorder="1" applyAlignment="1" applyProtection="1">
      <alignment horizontal="center" vertical="center"/>
      <protection/>
    </xf>
    <xf numFmtId="194" fontId="31" fillId="6" borderId="65" xfId="0" applyNumberFormat="1" applyFont="1" applyFill="1" applyBorder="1" applyAlignment="1" applyProtection="1">
      <alignment horizontal="center" vertical="center"/>
      <protection/>
    </xf>
    <xf numFmtId="194" fontId="31" fillId="6" borderId="66" xfId="0" applyNumberFormat="1" applyFont="1" applyFill="1" applyBorder="1" applyAlignment="1" applyProtection="1">
      <alignment horizontal="center" vertical="center"/>
      <protection/>
    </xf>
    <xf numFmtId="194" fontId="31" fillId="6" borderId="67" xfId="0" applyNumberFormat="1" applyFont="1" applyFill="1" applyBorder="1" applyAlignment="1" applyProtection="1">
      <alignment horizontal="center" vertical="center"/>
      <protection/>
    </xf>
    <xf numFmtId="0" fontId="31" fillId="2" borderId="68" xfId="0" applyFont="1" applyFill="1" applyBorder="1" applyAlignment="1" applyProtection="1">
      <alignment horizontal="center" vertical="center"/>
      <protection/>
    </xf>
    <xf numFmtId="194" fontId="31" fillId="2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8" borderId="41" xfId="0" applyFill="1" applyBorder="1" applyAlignment="1" applyProtection="1">
      <alignment horizontal="center"/>
      <protection locked="0"/>
    </xf>
    <xf numFmtId="167" fontId="16" fillId="0" borderId="0" xfId="0" applyNumberFormat="1" applyFont="1" applyBorder="1" applyAlignment="1" applyProtection="1">
      <alignment/>
      <protection locked="0"/>
    </xf>
    <xf numFmtId="167" fontId="25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167" fontId="1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5" fillId="12" borderId="0" xfId="0" applyNumberFormat="1" applyFont="1" applyFill="1" applyBorder="1" applyAlignment="1" applyProtection="1">
      <alignment vertical="center"/>
      <protection/>
    </xf>
    <xf numFmtId="194" fontId="31" fillId="6" borderId="69" xfId="0" applyNumberFormat="1" applyFont="1" applyFill="1" applyBorder="1" applyAlignment="1" applyProtection="1">
      <alignment horizontal="center" vertical="center"/>
      <protection/>
    </xf>
    <xf numFmtId="194" fontId="31" fillId="6" borderId="70" xfId="0" applyNumberFormat="1" applyFont="1" applyFill="1" applyBorder="1" applyAlignment="1" applyProtection="1">
      <alignment horizontal="center" vertical="center"/>
      <protection/>
    </xf>
    <xf numFmtId="194" fontId="31" fillId="6" borderId="71" xfId="0" applyNumberFormat="1" applyFont="1" applyFill="1" applyBorder="1" applyAlignment="1" applyProtection="1">
      <alignment horizontal="center" vertical="center"/>
      <protection/>
    </xf>
    <xf numFmtId="194" fontId="31" fillId="6" borderId="72" xfId="0" applyNumberFormat="1" applyFont="1" applyFill="1" applyBorder="1" applyAlignment="1" applyProtection="1">
      <alignment horizontal="center" vertical="center"/>
      <protection/>
    </xf>
    <xf numFmtId="0" fontId="0" fillId="4" borderId="41" xfId="0" applyFill="1" applyBorder="1" applyAlignment="1">
      <alignment/>
    </xf>
    <xf numFmtId="0" fontId="58" fillId="2" borderId="0" xfId="0" applyFont="1" applyFill="1" applyAlignment="1">
      <alignment vertical="center"/>
    </xf>
    <xf numFmtId="0" fontId="59" fillId="7" borderId="73" xfId="0" applyFont="1" applyFill="1" applyBorder="1" applyAlignment="1">
      <alignment horizontal="centerContinuous" vertical="center"/>
    </xf>
    <xf numFmtId="0" fontId="31" fillId="2" borderId="0" xfId="0" applyFont="1" applyFill="1" applyAlignment="1">
      <alignment/>
    </xf>
    <xf numFmtId="0" fontId="59" fillId="17" borderId="73" xfId="0" applyFont="1" applyFill="1" applyBorder="1" applyAlignment="1">
      <alignment horizontal="centerContinuous" vertical="center"/>
    </xf>
    <xf numFmtId="0" fontId="59" fillId="17" borderId="74" xfId="0" applyFont="1" applyFill="1" applyBorder="1" applyAlignment="1">
      <alignment horizontal="centerContinuous" vertical="center"/>
    </xf>
    <xf numFmtId="0" fontId="59" fillId="2" borderId="75" xfId="0" applyFont="1" applyFill="1" applyBorder="1" applyAlignment="1">
      <alignment horizontal="centerContinuous" vertical="center"/>
    </xf>
    <xf numFmtId="0" fontId="0" fillId="2" borderId="0" xfId="0" applyFill="1" applyAlignment="1" applyProtection="1">
      <alignment/>
      <protection locked="0"/>
    </xf>
    <xf numFmtId="49" fontId="15" fillId="13" borderId="48" xfId="0" applyNumberFormat="1" applyFont="1" applyFill="1" applyBorder="1" applyAlignment="1" applyProtection="1">
      <alignment horizontal="center" vertical="center"/>
      <protection locked="0"/>
    </xf>
    <xf numFmtId="49" fontId="15" fillId="13" borderId="49" xfId="0" applyNumberFormat="1" applyFont="1" applyFill="1" applyBorder="1" applyAlignment="1" applyProtection="1">
      <alignment horizontal="center" vertical="center"/>
      <protection locked="0"/>
    </xf>
    <xf numFmtId="49" fontId="15" fillId="13" borderId="50" xfId="0" applyNumberFormat="1" applyFont="1" applyFill="1" applyBorder="1" applyAlignment="1" applyProtection="1">
      <alignment horizontal="center" vertical="center"/>
      <protection locked="0"/>
    </xf>
    <xf numFmtId="49" fontId="15" fillId="14" borderId="48" xfId="0" applyNumberFormat="1" applyFont="1" applyFill="1" applyBorder="1" applyAlignment="1" applyProtection="1">
      <alignment horizontal="center" vertical="center"/>
      <protection locked="0"/>
    </xf>
    <xf numFmtId="49" fontId="15" fillId="14" borderId="50" xfId="0" applyNumberFormat="1" applyFont="1" applyFill="1" applyBorder="1" applyAlignment="1" applyProtection="1">
      <alignment horizontal="center" vertical="center"/>
      <protection locked="0"/>
    </xf>
    <xf numFmtId="49" fontId="15" fillId="15" borderId="51" xfId="0" applyNumberFormat="1" applyFont="1" applyFill="1" applyBorder="1" applyAlignment="1" applyProtection="1">
      <alignment horizontal="center" vertical="center"/>
      <protection locked="0"/>
    </xf>
    <xf numFmtId="0" fontId="59" fillId="2" borderId="56" xfId="0" applyFont="1" applyFill="1" applyBorder="1" applyAlignment="1">
      <alignment horizontal="centerContinuous" vertical="center"/>
    </xf>
    <xf numFmtId="0" fontId="59" fillId="2" borderId="0" xfId="0" applyFont="1" applyFill="1" applyBorder="1" applyAlignment="1">
      <alignment horizontal="centerContinuous" vertical="center"/>
    </xf>
    <xf numFmtId="0" fontId="55" fillId="2" borderId="0" xfId="0" applyFont="1" applyFill="1" applyBorder="1" applyAlignment="1">
      <alignment horizontal="centerContinuous" vertical="center"/>
    </xf>
    <xf numFmtId="167" fontId="11" fillId="2" borderId="47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18" borderId="41" xfId="0" applyFill="1" applyBorder="1" applyAlignment="1" applyProtection="1">
      <alignment/>
      <protection locked="0"/>
    </xf>
    <xf numFmtId="166" fontId="48" fillId="15" borderId="31" xfId="0" applyNumberFormat="1" applyFont="1" applyFill="1" applyBorder="1" applyAlignment="1" applyProtection="1">
      <alignment/>
      <protection locked="0"/>
    </xf>
    <xf numFmtId="0" fontId="48" fillId="15" borderId="32" xfId="0" applyFont="1" applyFill="1" applyBorder="1" applyAlignment="1" applyProtection="1">
      <alignment horizontal="left"/>
      <protection locked="0"/>
    </xf>
    <xf numFmtId="166" fontId="48" fillId="15" borderId="33" xfId="0" applyNumberFormat="1" applyFont="1" applyFill="1" applyBorder="1" applyAlignment="1" applyProtection="1">
      <alignment/>
      <protection locked="0"/>
    </xf>
    <xf numFmtId="0" fontId="48" fillId="15" borderId="34" xfId="0" applyFont="1" applyFill="1" applyBorder="1" applyAlignment="1" applyProtection="1">
      <alignment horizontal="left"/>
      <protection locked="0"/>
    </xf>
    <xf numFmtId="166" fontId="48" fillId="15" borderId="35" xfId="0" applyNumberFormat="1" applyFont="1" applyFill="1" applyBorder="1" applyAlignment="1" applyProtection="1">
      <alignment/>
      <protection locked="0"/>
    </xf>
    <xf numFmtId="0" fontId="48" fillId="15" borderId="36" xfId="0" applyFont="1" applyFill="1" applyBorder="1" applyAlignment="1" applyProtection="1">
      <alignment horizontal="left"/>
      <protection locked="0"/>
    </xf>
    <xf numFmtId="0" fontId="22" fillId="5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165" fontId="20" fillId="10" borderId="79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165" fontId="20" fillId="13" borderId="79" xfId="0" applyNumberFormat="1" applyFont="1" applyFill="1" applyBorder="1" applyAlignment="1">
      <alignment horizontal="left"/>
    </xf>
    <xf numFmtId="165" fontId="20" fillId="10" borderId="80" xfId="0" applyNumberFormat="1" applyFont="1" applyFill="1" applyBorder="1" applyAlignment="1">
      <alignment horizontal="left"/>
    </xf>
    <xf numFmtId="0" fontId="20" fillId="10" borderId="81" xfId="0" applyFont="1" applyFill="1" applyBorder="1" applyAlignment="1">
      <alignment horizontal="right" vertical="center"/>
    </xf>
    <xf numFmtId="0" fontId="20" fillId="10" borderId="82" xfId="0" applyFont="1" applyFill="1" applyBorder="1" applyAlignment="1">
      <alignment horizontal="right" vertical="center"/>
    </xf>
    <xf numFmtId="165" fontId="20" fillId="10" borderId="82" xfId="0" applyNumberFormat="1" applyFont="1" applyFill="1" applyBorder="1" applyAlignment="1">
      <alignment horizontal="left" vertical="center"/>
    </xf>
    <xf numFmtId="165" fontId="20" fillId="10" borderId="79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2" fillId="5" borderId="9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79" xfId="0" applyFont="1" applyFill="1" applyBorder="1" applyAlignment="1">
      <alignment horizontal="center"/>
    </xf>
    <xf numFmtId="0" fontId="20" fillId="10" borderId="84" xfId="0" applyFont="1" applyFill="1" applyBorder="1" applyAlignment="1">
      <alignment horizontal="right" vertical="center"/>
    </xf>
    <xf numFmtId="0" fontId="20" fillId="10" borderId="79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10" borderId="85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20" fillId="10" borderId="86" xfId="0" applyFont="1" applyFill="1" applyBorder="1" applyAlignment="1">
      <alignment horizontal="right"/>
    </xf>
    <xf numFmtId="0" fontId="20" fillId="10" borderId="80" xfId="0" applyFont="1" applyFill="1" applyBorder="1" applyAlignment="1">
      <alignment horizontal="right"/>
    </xf>
    <xf numFmtId="0" fontId="20" fillId="10" borderId="84" xfId="0" applyFont="1" applyFill="1" applyBorder="1" applyAlignment="1">
      <alignment horizontal="right"/>
    </xf>
    <xf numFmtId="0" fontId="20" fillId="10" borderId="79" xfId="0" applyFont="1" applyFill="1" applyBorder="1" applyAlignment="1">
      <alignment horizontal="right"/>
    </xf>
    <xf numFmtId="0" fontId="22" fillId="11" borderId="9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4" fillId="0" borderId="87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14" fillId="13" borderId="85" xfId="0" applyFont="1" applyFill="1" applyBorder="1" applyAlignment="1">
      <alignment horizontal="center"/>
    </xf>
    <xf numFmtId="0" fontId="14" fillId="13" borderId="80" xfId="0" applyFont="1" applyFill="1" applyBorder="1" applyAlignment="1">
      <alignment horizontal="center"/>
    </xf>
    <xf numFmtId="0" fontId="20" fillId="13" borderId="86" xfId="0" applyFont="1" applyFill="1" applyBorder="1" applyAlignment="1">
      <alignment horizontal="right"/>
    </xf>
    <xf numFmtId="0" fontId="20" fillId="13" borderId="80" xfId="0" applyFont="1" applyFill="1" applyBorder="1" applyAlignment="1">
      <alignment horizontal="right"/>
    </xf>
    <xf numFmtId="165" fontId="20" fillId="13" borderId="80" xfId="0" applyNumberFormat="1" applyFont="1" applyFill="1" applyBorder="1" applyAlignment="1">
      <alignment horizontal="left"/>
    </xf>
    <xf numFmtId="0" fontId="14" fillId="13" borderId="83" xfId="0" applyFont="1" applyFill="1" applyBorder="1" applyAlignment="1">
      <alignment horizontal="center"/>
    </xf>
    <xf numFmtId="0" fontId="14" fillId="13" borderId="79" xfId="0" applyFont="1" applyFill="1" applyBorder="1" applyAlignment="1">
      <alignment horizontal="center"/>
    </xf>
    <xf numFmtId="0" fontId="20" fillId="13" borderId="84" xfId="0" applyFont="1" applyFill="1" applyBorder="1" applyAlignment="1">
      <alignment horizontal="right"/>
    </xf>
    <xf numFmtId="0" fontId="20" fillId="13" borderId="79" xfId="0" applyFont="1" applyFill="1" applyBorder="1" applyAlignment="1">
      <alignment horizontal="right"/>
    </xf>
    <xf numFmtId="0" fontId="14" fillId="13" borderId="88" xfId="0" applyFont="1" applyFill="1" applyBorder="1" applyAlignment="1">
      <alignment horizontal="center"/>
    </xf>
    <xf numFmtId="0" fontId="14" fillId="13" borderId="82" xfId="0" applyFont="1" applyFill="1" applyBorder="1" applyAlignment="1">
      <alignment horizontal="center"/>
    </xf>
    <xf numFmtId="0" fontId="20" fillId="13" borderId="81" xfId="0" applyFont="1" applyFill="1" applyBorder="1" applyAlignment="1">
      <alignment horizontal="right"/>
    </xf>
    <xf numFmtId="0" fontId="20" fillId="13" borderId="82" xfId="0" applyFont="1" applyFill="1" applyBorder="1" applyAlignment="1">
      <alignment horizontal="right"/>
    </xf>
    <xf numFmtId="165" fontId="20" fillId="13" borderId="82" xfId="0" applyNumberFormat="1" applyFont="1" applyFill="1" applyBorder="1" applyAlignment="1">
      <alignment horizontal="left"/>
    </xf>
    <xf numFmtId="0" fontId="14" fillId="10" borderId="88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0" fillId="10" borderId="86" xfId="0" applyFont="1" applyFill="1" applyBorder="1" applyAlignment="1">
      <alignment horizontal="right" vertical="center"/>
    </xf>
    <xf numFmtId="0" fontId="20" fillId="10" borderId="80" xfId="0" applyFont="1" applyFill="1" applyBorder="1" applyAlignment="1">
      <alignment horizontal="right" vertical="center"/>
    </xf>
    <xf numFmtId="165" fontId="20" fillId="10" borderId="80" xfId="0" applyNumberFormat="1" applyFont="1" applyFill="1" applyBorder="1" applyAlignment="1">
      <alignment horizontal="left" vertical="center"/>
    </xf>
    <xf numFmtId="0" fontId="20" fillId="10" borderId="81" xfId="0" applyFont="1" applyFill="1" applyBorder="1" applyAlignment="1">
      <alignment horizontal="right"/>
    </xf>
    <xf numFmtId="0" fontId="20" fillId="10" borderId="82" xfId="0" applyFont="1" applyFill="1" applyBorder="1" applyAlignment="1">
      <alignment horizontal="right"/>
    </xf>
    <xf numFmtId="165" fontId="20" fillId="10" borderId="82" xfId="0" applyNumberFormat="1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4" fillId="19" borderId="89" xfId="0" applyFont="1" applyFill="1" applyBorder="1" applyAlignment="1" applyProtection="1">
      <alignment horizontal="left" vertical="center" indent="1"/>
      <protection locked="0"/>
    </xf>
    <xf numFmtId="0" fontId="34" fillId="19" borderId="90" xfId="0" applyFont="1" applyFill="1" applyBorder="1" applyAlignment="1" applyProtection="1">
      <alignment horizontal="left" vertical="center" indent="1"/>
      <protection locked="0"/>
    </xf>
    <xf numFmtId="0" fontId="34" fillId="19" borderId="91" xfId="0" applyFont="1" applyFill="1" applyBorder="1" applyAlignment="1" applyProtection="1">
      <alignment horizontal="left" vertical="center" indent="1"/>
      <protection locked="0"/>
    </xf>
    <xf numFmtId="0" fontId="41" fillId="0" borderId="2" xfId="0" applyFont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92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center" vertical="center"/>
    </xf>
    <xf numFmtId="0" fontId="31" fillId="15" borderId="93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4" borderId="94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center" vertical="center"/>
    </xf>
    <xf numFmtId="0" fontId="31" fillId="14" borderId="9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center" vertical="center"/>
    </xf>
    <xf numFmtId="0" fontId="31" fillId="13" borderId="95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7" xfId="0" applyBorder="1" applyAlignment="1">
      <alignment wrapText="1"/>
    </xf>
    <xf numFmtId="0" fontId="31" fillId="13" borderId="21" xfId="0" applyFont="1" applyFill="1" applyBorder="1" applyAlignment="1">
      <alignment horizontal="center" vertical="center"/>
    </xf>
    <xf numFmtId="0" fontId="31" fillId="13" borderId="9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57" fillId="20" borderId="96" xfId="0" applyFont="1" applyFill="1" applyBorder="1" applyAlignment="1" applyProtection="1">
      <alignment horizontal="center" vertical="center"/>
      <protection/>
    </xf>
    <xf numFmtId="0" fontId="57" fillId="20" borderId="97" xfId="0" applyFont="1" applyFill="1" applyBorder="1" applyAlignment="1" applyProtection="1">
      <alignment horizontal="center" vertical="center"/>
      <protection/>
    </xf>
    <xf numFmtId="0" fontId="57" fillId="20" borderId="98" xfId="0" applyFont="1" applyFill="1" applyBorder="1" applyAlignment="1" applyProtection="1">
      <alignment horizontal="center" vertical="center"/>
      <protection/>
    </xf>
    <xf numFmtId="0" fontId="13" fillId="21" borderId="97" xfId="0" applyFont="1" applyFill="1" applyBorder="1" applyAlignment="1" applyProtection="1">
      <alignment horizontal="center" vertical="center"/>
      <protection locked="0"/>
    </xf>
    <xf numFmtId="0" fontId="57" fillId="20" borderId="99" xfId="0" applyFont="1" applyFill="1" applyBorder="1" applyAlignment="1" applyProtection="1">
      <alignment horizontal="center" vertical="center"/>
      <protection/>
    </xf>
    <xf numFmtId="0" fontId="57" fillId="20" borderId="100" xfId="0" applyFont="1" applyFill="1" applyBorder="1" applyAlignment="1" applyProtection="1">
      <alignment horizontal="center" vertical="center"/>
      <protection/>
    </xf>
    <xf numFmtId="0" fontId="57" fillId="20" borderId="101" xfId="0" applyFont="1" applyFill="1" applyBorder="1" applyAlignment="1" applyProtection="1">
      <alignment horizontal="center" vertical="center"/>
      <protection/>
    </xf>
    <xf numFmtId="0" fontId="57" fillId="20" borderId="102" xfId="0" applyFont="1" applyFill="1" applyBorder="1" applyAlignment="1" applyProtection="1">
      <alignment horizontal="center" vertical="center"/>
      <protection/>
    </xf>
    <xf numFmtId="0" fontId="57" fillId="20" borderId="103" xfId="0" applyFont="1" applyFill="1" applyBorder="1" applyAlignment="1" applyProtection="1">
      <alignment horizontal="center" vertical="center"/>
      <protection/>
    </xf>
    <xf numFmtId="0" fontId="57" fillId="20" borderId="104" xfId="0" applyFont="1" applyFill="1" applyBorder="1" applyAlignment="1" applyProtection="1">
      <alignment horizontal="center" vertical="center"/>
      <protection/>
    </xf>
    <xf numFmtId="0" fontId="57" fillId="20" borderId="105" xfId="0" applyFont="1" applyFill="1" applyBorder="1" applyAlignment="1" applyProtection="1">
      <alignment horizontal="center" vertical="center"/>
      <protection/>
    </xf>
    <xf numFmtId="0" fontId="57" fillId="20" borderId="106" xfId="0" applyFont="1" applyFill="1" applyBorder="1" applyAlignment="1" applyProtection="1">
      <alignment horizontal="center" vertical="center"/>
      <protection/>
    </xf>
    <xf numFmtId="0" fontId="57" fillId="20" borderId="107" xfId="0" applyFont="1" applyFill="1" applyBorder="1" applyAlignment="1" applyProtection="1">
      <alignment horizontal="center" vertical="center"/>
      <protection/>
    </xf>
    <xf numFmtId="0" fontId="13" fillId="21" borderId="108" xfId="0" applyFont="1" applyFill="1" applyBorder="1" applyAlignment="1" applyProtection="1">
      <alignment horizontal="center" vertical="center"/>
      <protection locked="0"/>
    </xf>
    <xf numFmtId="0" fontId="57" fillId="20" borderId="3" xfId="0" applyFont="1" applyFill="1" applyBorder="1" applyAlignment="1" applyProtection="1">
      <alignment horizontal="center" vertical="center"/>
      <protection/>
    </xf>
    <xf numFmtId="0" fontId="57" fillId="20" borderId="0" xfId="0" applyFont="1" applyFill="1" applyBorder="1" applyAlignment="1" applyProtection="1">
      <alignment horizontal="center" vertical="center"/>
      <protection/>
    </xf>
    <xf numFmtId="0" fontId="57" fillId="20" borderId="109" xfId="0" applyFont="1" applyFill="1" applyBorder="1" applyAlignment="1" applyProtection="1">
      <alignment horizontal="center" vertical="center"/>
      <protection/>
    </xf>
    <xf numFmtId="0" fontId="13" fillId="21" borderId="58" xfId="0" applyFont="1" applyFill="1" applyBorder="1" applyAlignment="1" applyProtection="1">
      <alignment horizontal="center" vertical="center"/>
      <protection locked="0"/>
    </xf>
    <xf numFmtId="0" fontId="13" fillId="21" borderId="110" xfId="0" applyFont="1" applyFill="1" applyBorder="1" applyAlignment="1" applyProtection="1">
      <alignment horizontal="center" vertical="center"/>
      <protection locked="0"/>
    </xf>
    <xf numFmtId="0" fontId="13" fillId="21" borderId="111" xfId="0" applyFont="1" applyFill="1" applyBorder="1" applyAlignment="1" applyProtection="1">
      <alignment horizontal="center" vertical="center"/>
      <protection locked="0"/>
    </xf>
    <xf numFmtId="0" fontId="13" fillId="21" borderId="112" xfId="0" applyFont="1" applyFill="1" applyBorder="1" applyAlignment="1" applyProtection="1">
      <alignment horizontal="center" vertical="center"/>
      <protection locked="0"/>
    </xf>
    <xf numFmtId="0" fontId="13" fillId="21" borderId="113" xfId="0" applyFont="1" applyFill="1" applyBorder="1" applyAlignment="1" applyProtection="1">
      <alignment horizontal="center" vertical="center"/>
      <protection locked="0"/>
    </xf>
    <xf numFmtId="0" fontId="13" fillId="21" borderId="114" xfId="0" applyFont="1" applyFill="1" applyBorder="1" applyAlignment="1" applyProtection="1">
      <alignment horizontal="center" vertical="center"/>
      <protection locked="0"/>
    </xf>
    <xf numFmtId="0" fontId="13" fillId="21" borderId="115" xfId="0" applyFont="1" applyFill="1" applyBorder="1" applyAlignment="1" applyProtection="1">
      <alignment horizontal="center" vertical="center"/>
      <protection locked="0"/>
    </xf>
    <xf numFmtId="0" fontId="57" fillId="20" borderId="74" xfId="0" applyFont="1" applyFill="1" applyBorder="1" applyAlignment="1" applyProtection="1">
      <alignment horizontal="center" vertical="center"/>
      <protection/>
    </xf>
    <xf numFmtId="0" fontId="57" fillId="20" borderId="58" xfId="0" applyFont="1" applyFill="1" applyBorder="1" applyAlignment="1" applyProtection="1">
      <alignment horizontal="center" vertical="center"/>
      <protection/>
    </xf>
    <xf numFmtId="0" fontId="57" fillId="20" borderId="59" xfId="0" applyFont="1" applyFill="1" applyBorder="1" applyAlignment="1" applyProtection="1">
      <alignment horizontal="center" vertical="center"/>
      <protection/>
    </xf>
    <xf numFmtId="0" fontId="57" fillId="20" borderId="116" xfId="0" applyFont="1" applyFill="1" applyBorder="1" applyAlignment="1" applyProtection="1">
      <alignment horizontal="center" vertical="center"/>
      <protection/>
    </xf>
    <xf numFmtId="0" fontId="57" fillId="20" borderId="56" xfId="0" applyFont="1" applyFill="1" applyBorder="1" applyAlignment="1" applyProtection="1">
      <alignment horizontal="center" vertical="center"/>
      <protection/>
    </xf>
    <xf numFmtId="0" fontId="57" fillId="20" borderId="57" xfId="0" applyFont="1" applyFill="1" applyBorder="1" applyAlignment="1" applyProtection="1">
      <alignment horizontal="center" vertical="center"/>
      <protection/>
    </xf>
    <xf numFmtId="0" fontId="13" fillId="21" borderId="75" xfId="0" applyFont="1" applyFill="1" applyBorder="1" applyAlignment="1" applyProtection="1">
      <alignment horizontal="center" vertical="center"/>
      <protection locked="0"/>
    </xf>
    <xf numFmtId="0" fontId="13" fillId="21" borderId="56" xfId="0" applyFont="1" applyFill="1" applyBorder="1" applyAlignment="1" applyProtection="1">
      <alignment horizontal="center" vertical="center"/>
      <protection locked="0"/>
    </xf>
    <xf numFmtId="0" fontId="57" fillId="20" borderId="117" xfId="0" applyFont="1" applyFill="1" applyBorder="1" applyAlignment="1" applyProtection="1">
      <alignment horizontal="center" vertical="center"/>
      <protection/>
    </xf>
    <xf numFmtId="0" fontId="57" fillId="20" borderId="118" xfId="0" applyFont="1" applyFill="1" applyBorder="1" applyAlignment="1" applyProtection="1">
      <alignment horizontal="center" vertical="center"/>
      <protection/>
    </xf>
    <xf numFmtId="0" fontId="57" fillId="20" borderId="119" xfId="0" applyFont="1" applyFill="1" applyBorder="1" applyAlignment="1" applyProtection="1">
      <alignment horizontal="center" vertical="center"/>
      <protection/>
    </xf>
    <xf numFmtId="0" fontId="13" fillId="21" borderId="120" xfId="0" applyFont="1" applyFill="1" applyBorder="1" applyAlignment="1" applyProtection="1">
      <alignment horizontal="center" vertical="center"/>
      <protection locked="0"/>
    </xf>
    <xf numFmtId="0" fontId="13" fillId="21" borderId="121" xfId="0" applyFont="1" applyFill="1" applyBorder="1" applyAlignment="1" applyProtection="1">
      <alignment horizontal="center" vertical="center"/>
      <protection locked="0"/>
    </xf>
    <xf numFmtId="0" fontId="13" fillId="21" borderId="118" xfId="0" applyFont="1" applyFill="1" applyBorder="1" applyAlignment="1" applyProtection="1">
      <alignment horizontal="center" vertical="center"/>
      <protection locked="0"/>
    </xf>
    <xf numFmtId="0" fontId="57" fillId="20" borderId="122" xfId="0" applyFont="1" applyFill="1" applyBorder="1" applyAlignment="1" applyProtection="1">
      <alignment horizontal="center" vertical="center"/>
      <protection/>
    </xf>
    <xf numFmtId="0" fontId="57" fillId="20" borderId="123" xfId="0" applyFont="1" applyFill="1" applyBorder="1" applyAlignment="1" applyProtection="1">
      <alignment horizontal="center" vertical="center"/>
      <protection/>
    </xf>
    <xf numFmtId="0" fontId="57" fillId="20" borderId="124" xfId="0" applyFont="1" applyFill="1" applyBorder="1" applyAlignment="1" applyProtection="1">
      <alignment horizontal="center" vertical="center"/>
      <protection/>
    </xf>
    <xf numFmtId="0" fontId="13" fillId="21" borderId="125" xfId="0" applyFont="1" applyFill="1" applyBorder="1" applyAlignment="1" applyProtection="1">
      <alignment horizontal="center" vertical="center"/>
      <protection locked="0"/>
    </xf>
    <xf numFmtId="0" fontId="13" fillId="21" borderId="123" xfId="0" applyFont="1" applyFill="1" applyBorder="1" applyAlignment="1" applyProtection="1">
      <alignment horizontal="center" vertical="center"/>
      <protection locked="0"/>
    </xf>
    <xf numFmtId="0" fontId="57" fillId="20" borderId="102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7" fillId="20" borderId="127" xfId="0" applyFont="1" applyFill="1" applyBorder="1" applyAlignment="1" applyProtection="1">
      <alignment horizontal="center" vertical="center" wrapText="1"/>
      <protection/>
    </xf>
    <xf numFmtId="0" fontId="57" fillId="20" borderId="128" xfId="0" applyFont="1" applyFill="1" applyBorder="1" applyAlignment="1" applyProtection="1">
      <alignment horizontal="center" vertical="center" wrapText="1"/>
      <protection/>
    </xf>
    <xf numFmtId="0" fontId="57" fillId="20" borderId="129" xfId="0" applyFont="1" applyFill="1" applyBorder="1" applyAlignment="1" applyProtection="1">
      <alignment horizontal="center" vertical="center" wrapText="1"/>
      <protection/>
    </xf>
    <xf numFmtId="0" fontId="57" fillId="20" borderId="130" xfId="0" applyFont="1" applyFill="1" applyBorder="1" applyAlignment="1" applyProtection="1">
      <alignment horizontal="center" vertical="center" wrapText="1"/>
      <protection/>
    </xf>
    <xf numFmtId="0" fontId="57" fillId="20" borderId="131" xfId="0" applyFont="1" applyFill="1" applyBorder="1" applyAlignment="1" applyProtection="1">
      <alignment horizontal="center" vertical="center" wrapText="1"/>
      <protection/>
    </xf>
    <xf numFmtId="0" fontId="57" fillId="20" borderId="132" xfId="0" applyFont="1" applyFill="1" applyBorder="1" applyAlignment="1" applyProtection="1">
      <alignment horizontal="center" vertical="center" wrapText="1"/>
      <protection/>
    </xf>
    <xf numFmtId="0" fontId="13" fillId="21" borderId="100" xfId="0" applyFont="1" applyFill="1" applyBorder="1" applyAlignment="1" applyProtection="1">
      <alignment horizontal="center" vertical="center"/>
      <protection locked="0"/>
    </xf>
    <xf numFmtId="0" fontId="57" fillId="20" borderId="133" xfId="0" applyFont="1" applyFill="1" applyBorder="1" applyAlignment="1" applyProtection="1">
      <alignment horizontal="center" vertical="center"/>
      <protection/>
    </xf>
    <xf numFmtId="0" fontId="57" fillId="20" borderId="134" xfId="0" applyFont="1" applyFill="1" applyBorder="1" applyAlignment="1" applyProtection="1">
      <alignment horizontal="center" vertical="center"/>
      <protection/>
    </xf>
    <xf numFmtId="0" fontId="57" fillId="20" borderId="135" xfId="0" applyFont="1" applyFill="1" applyBorder="1" applyAlignment="1" applyProtection="1">
      <alignment horizontal="center" vertical="center"/>
      <protection/>
    </xf>
    <xf numFmtId="0" fontId="13" fillId="21" borderId="134" xfId="0" applyFont="1" applyFill="1" applyBorder="1" applyAlignment="1" applyProtection="1">
      <alignment horizontal="center" vertical="center"/>
      <protection locked="0"/>
    </xf>
    <xf numFmtId="0" fontId="36" fillId="7" borderId="73" xfId="0" applyFont="1" applyFill="1" applyBorder="1" applyAlignment="1" applyProtection="1">
      <alignment horizontal="center" vertical="center"/>
      <protection/>
    </xf>
    <xf numFmtId="0" fontId="36" fillId="0" borderId="54" xfId="0" applyFont="1" applyBorder="1" applyAlignment="1" applyProtection="1">
      <alignment horizontal="center" vertical="center"/>
      <protection/>
    </xf>
    <xf numFmtId="0" fontId="36" fillId="7" borderId="5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2">
    <dxf>
      <fill>
        <patternFill>
          <bgColor rgb="FFCC99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720C0C"/>
      </font>
      <border/>
    </dxf>
    <dxf>
      <font>
        <color rgb="FFB7290D"/>
      </font>
      <border/>
    </dxf>
    <dxf>
      <font>
        <color rgb="FFFE0000"/>
      </font>
      <border/>
    </dxf>
    <dxf>
      <fill>
        <patternFill>
          <bgColor rgb="FFFE0000"/>
        </patternFill>
      </fill>
      <border/>
    </dxf>
    <dxf>
      <font>
        <b val="0"/>
        <i/>
        <color rgb="FF4D4D4D"/>
      </font>
      <fill>
        <patternFill patternType="lightUp">
          <bgColor rgb="FFC6BE9A"/>
        </patternFill>
      </fill>
      <border/>
    </dxf>
    <dxf>
      <font>
        <color rgb="FFFFFFFF"/>
      </font>
      <fill>
        <patternFill patternType="darkUp"/>
      </fill>
      <border/>
    </dxf>
    <dxf>
      <font>
        <color rgb="FFFFFFFF"/>
      </font>
      <fill>
        <patternFill patternType="solid">
          <bgColor rgb="FFFE0000"/>
        </patternFill>
      </fill>
      <border/>
    </dxf>
    <dxf>
      <font>
        <color rgb="FFFFFFFF"/>
      </font>
      <fill>
        <patternFill>
          <bgColor rgb="FFFE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0000"/>
      <rgbColor rgb="003FFF3F"/>
      <rgbColor rgb="000000FF"/>
      <rgbColor rgb="00FFFF00"/>
      <rgbColor rgb="00D7AE8D"/>
      <rgbColor rgb="0000D600"/>
      <rgbColor rgb="00800000"/>
      <rgbColor rgb="00008000"/>
      <rgbColor rgb="00000080"/>
      <rgbColor rgb="00E4E2C0"/>
      <rgbColor rgb="00800080"/>
      <rgbColor rgb="00008080"/>
      <rgbColor rgb="00C0C0C0"/>
      <rgbColor rgb="004D4D4D"/>
      <rgbColor rgb="0063A0F9"/>
      <rgbColor rgb="00993366"/>
      <rgbColor rgb="00FFFFBD"/>
      <rgbColor rgb="00CCFFFF"/>
      <rgbColor rgb="00720C0C"/>
      <rgbColor rgb="00FF8080"/>
      <rgbColor rgb="000066CC"/>
      <rgbColor rgb="00CBBDA1"/>
      <rgbColor rgb="00000080"/>
      <rgbColor rgb="00DDDDDD"/>
      <rgbColor rgb="00EEE08E"/>
      <rgbColor rgb="00B2C4EC"/>
      <rgbColor rgb="00800080"/>
      <rgbColor rgb="00B7290D"/>
      <rgbColor rgb="00349E34"/>
      <rgbColor rgb="000000FF"/>
      <rgbColor rgb="00D0D6DE"/>
      <rgbColor rgb="00CCFFFF"/>
      <rgbColor rgb="00CCFFCC"/>
      <rgbColor rgb="00FFFF99"/>
      <rgbColor rgb="0099CCFF"/>
      <rgbColor rgb="00C6BE9A"/>
      <rgbColor rgb="00CC99FF"/>
      <rgbColor rgb="00F8DC74"/>
      <rgbColor rgb="003366FF"/>
      <rgbColor rgb="00B1AE81"/>
      <rgbColor rgb="0099CC00"/>
      <rgbColor rgb="00FF9933"/>
      <rgbColor rgb="00FF9900"/>
      <rgbColor rgb="00FF6600"/>
      <rgbColor rgb="00666699"/>
      <rgbColor rgb="00A3A3A3"/>
      <rgbColor rgb="00ECECC2"/>
      <rgbColor rgb="00339966"/>
      <rgbColor rgb="00CFCFEB"/>
      <rgbColor rgb="00D8D5E3"/>
      <rgbColor rgb="007427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0</xdr:row>
      <xdr:rowOff>66675</xdr:rowOff>
    </xdr:from>
    <xdr:to>
      <xdr:col>14</xdr:col>
      <xdr:colOff>85725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48600" y="66675"/>
          <a:ext cx="1600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vorhandene reale Ergebnisse in die Gruppentabellen einrechnen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31" sqref="A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B63"/>
  <sheetViews>
    <sheetView showGridLines="0" showRowColHeaders="0" tabSelected="1" workbookViewId="0" topLeftCell="A2">
      <selection activeCell="D3" sqref="D3:G3"/>
    </sheetView>
  </sheetViews>
  <sheetFormatPr defaultColWidth="11.421875" defaultRowHeight="12.75"/>
  <cols>
    <col min="1" max="2" width="1.7109375" style="0" customWidth="1"/>
    <col min="3" max="3" width="3.8515625" style="0" hidden="1" customWidth="1"/>
    <col min="4" max="5" width="5.421875" style="0" customWidth="1"/>
    <col min="6" max="6" width="4.8515625" style="0" customWidth="1"/>
    <col min="7" max="7" width="5.421875" style="0" customWidth="1"/>
    <col min="8" max="10" width="3.7109375" style="0" customWidth="1"/>
    <col min="11" max="15" width="3.85156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8515625" style="0" customWidth="1"/>
    <col min="24" max="24" width="4.28125" style="0" customWidth="1"/>
    <col min="25" max="25" width="4.57421875" style="0" customWidth="1"/>
    <col min="26" max="26" width="2.7109375" style="0" customWidth="1"/>
    <col min="27" max="27" width="4.57421875" style="0" customWidth="1"/>
    <col min="28" max="28" width="2.7109375" style="0" customWidth="1"/>
    <col min="29" max="29" width="4.57421875" style="0" customWidth="1"/>
    <col min="30" max="30" width="2.7109375" style="0" customWidth="1"/>
    <col min="31" max="31" width="4.57421875" style="0" customWidth="1"/>
    <col min="32" max="32" width="2.7109375" style="0" customWidth="1"/>
    <col min="33" max="33" width="4.57421875" style="0" customWidth="1"/>
    <col min="34" max="34" width="2.7109375" style="0" customWidth="1"/>
    <col min="35" max="35" width="4.57421875" style="0" customWidth="1"/>
    <col min="36" max="36" width="4.7109375" style="0" customWidth="1"/>
    <col min="37" max="37" width="1.7109375" style="0" customWidth="1"/>
    <col min="38" max="76" width="4.7109375" style="0" hidden="1" customWidth="1"/>
    <col min="77" max="77" width="10.7109375" style="0" hidden="1" customWidth="1"/>
    <col min="78" max="80" width="11.421875" style="0" hidden="1" customWidth="1"/>
    <col min="81" max="86" width="5.7109375" style="0" hidden="1" customWidth="1"/>
    <col min="87" max="88" width="6.7109375" style="0" hidden="1" customWidth="1"/>
    <col min="89" max="94" width="8.7109375" style="0" hidden="1" customWidth="1"/>
    <col min="95" max="98" width="6.7109375" style="0" hidden="1" customWidth="1"/>
    <col min="99" max="102" width="11.421875" style="0" hidden="1" customWidth="1"/>
  </cols>
  <sheetData>
    <row r="1" spans="1:34" ht="12.75" hidden="1">
      <c r="A1" s="1"/>
      <c r="B1" s="1"/>
      <c r="C1" s="1"/>
      <c r="D1" s="1">
        <v>5</v>
      </c>
      <c r="E1" s="1"/>
      <c r="F1" s="1"/>
      <c r="G1" s="1"/>
      <c r="H1" s="1">
        <v>7</v>
      </c>
      <c r="I1" s="1"/>
      <c r="J1" s="1"/>
      <c r="K1" s="1"/>
      <c r="L1" s="1"/>
      <c r="M1" s="1"/>
      <c r="N1" s="1"/>
      <c r="O1" s="1">
        <v>10</v>
      </c>
      <c r="P1" s="1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06" ht="4.5" customHeight="1" thickBot="1">
      <c r="A2" s="3"/>
      <c r="B2" s="3"/>
      <c r="C2" s="3"/>
      <c r="D2" s="3"/>
      <c r="E2" s="3"/>
      <c r="F2" s="88"/>
      <c r="G2" s="88"/>
      <c r="H2" s="86"/>
      <c r="I2" s="3"/>
      <c r="J2" s="88"/>
      <c r="K2" s="88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W2" s="89"/>
      <c r="X2" s="89"/>
      <c r="Y2" s="89"/>
      <c r="Z2" s="89"/>
      <c r="AA2" s="89"/>
      <c r="AB2" s="89"/>
      <c r="AC2" s="1"/>
      <c r="AD2" s="1"/>
      <c r="AE2" s="1"/>
      <c r="AF2" s="1"/>
      <c r="AG2" s="1"/>
      <c r="AH2" s="1"/>
      <c r="AI2" s="3"/>
      <c r="AJ2" s="3"/>
      <c r="AK2" s="3"/>
      <c r="CR2" t="s">
        <v>58</v>
      </c>
      <c r="CS2" t="s">
        <v>62</v>
      </c>
      <c r="CY2" s="3"/>
      <c r="CZ2" s="3"/>
      <c r="DA2" s="3"/>
      <c r="DB2" s="3"/>
    </row>
    <row r="3" spans="1:106" ht="15" customHeight="1" thickBot="1">
      <c r="A3" s="1"/>
      <c r="B3" s="1"/>
      <c r="C3" s="2"/>
      <c r="D3" s="384" t="s">
        <v>60</v>
      </c>
      <c r="E3" s="384"/>
      <c r="F3" s="384"/>
      <c r="G3" s="384"/>
      <c r="H3" s="170"/>
      <c r="I3" s="170" t="s">
        <v>121</v>
      </c>
      <c r="J3" s="170"/>
      <c r="K3" s="170"/>
      <c r="L3" s="170"/>
      <c r="M3" s="96"/>
      <c r="N3" s="96"/>
      <c r="O3" s="96"/>
      <c r="P3" s="96"/>
      <c r="Q3" s="96"/>
      <c r="R3" s="96"/>
      <c r="S3" s="96"/>
      <c r="T3" s="96"/>
      <c r="U3" s="87"/>
      <c r="V3" s="87"/>
      <c r="W3" s="95" t="s">
        <v>61</v>
      </c>
      <c r="X3" s="97"/>
      <c r="Y3" s="385" t="s">
        <v>972</v>
      </c>
      <c r="Z3" s="386"/>
      <c r="AA3" s="386"/>
      <c r="AB3" s="386"/>
      <c r="AC3" s="386"/>
      <c r="AD3" s="386"/>
      <c r="AE3" s="386"/>
      <c r="AF3" s="386"/>
      <c r="AG3" s="386"/>
      <c r="AH3" s="387"/>
      <c r="AI3" s="4"/>
      <c r="AJ3" s="3"/>
      <c r="AK3" s="3"/>
      <c r="AM3" s="317" t="b">
        <v>0</v>
      </c>
      <c r="AN3" t="s">
        <v>234</v>
      </c>
      <c r="BM3" s="5" t="s">
        <v>0</v>
      </c>
      <c r="BN3" s="6">
        <v>1</v>
      </c>
      <c r="BO3" t="s">
        <v>1</v>
      </c>
      <c r="BR3">
        <v>10000</v>
      </c>
      <c r="BS3">
        <f>IF(dvmodus=1,0.01,1)</f>
        <v>0.01</v>
      </c>
      <c r="BT3">
        <v>0</v>
      </c>
      <c r="BU3">
        <f>IF(dvmodus=1,1,100)</f>
        <v>1</v>
      </c>
      <c r="BV3">
        <v>0</v>
      </c>
      <c r="BW3">
        <v>0</v>
      </c>
      <c r="BX3">
        <f>IF(dvmodus=1,100,0.01)</f>
        <v>100</v>
      </c>
      <c r="BY3">
        <v>0.0001</v>
      </c>
      <c r="CR3" t="s">
        <v>203</v>
      </c>
      <c r="CS3" t="s">
        <v>217</v>
      </c>
      <c r="CY3" s="3"/>
      <c r="CZ3" s="3"/>
      <c r="DA3" s="3"/>
      <c r="DB3" s="3"/>
    </row>
    <row r="4" spans="1:106" ht="15.75" customHeight="1">
      <c r="A4" s="3"/>
      <c r="B4" s="90"/>
      <c r="C4" s="90"/>
      <c r="D4" s="377"/>
      <c r="E4" s="377"/>
      <c r="F4" s="4"/>
      <c r="G4" s="91">
        <v>1</v>
      </c>
      <c r="H4" s="91"/>
      <c r="I4" s="91"/>
      <c r="J4" s="91"/>
      <c r="K4" s="92"/>
      <c r="L4" s="91"/>
      <c r="M4" s="4"/>
      <c r="N4" s="91">
        <v>2</v>
      </c>
      <c r="O4" s="91"/>
      <c r="P4" s="91"/>
      <c r="Q4" s="92"/>
      <c r="R4" s="91"/>
      <c r="S4" s="91"/>
      <c r="T4" s="91"/>
      <c r="U4" s="91">
        <v>3</v>
      </c>
      <c r="V4" s="92"/>
      <c r="W4" s="310"/>
      <c r="X4" s="310"/>
      <c r="Y4" s="310"/>
      <c r="Z4" s="92"/>
      <c r="AA4" s="91"/>
      <c r="AB4" s="92">
        <v>4</v>
      </c>
      <c r="AC4" s="93"/>
      <c r="AD4" s="93"/>
      <c r="AE4" s="93"/>
      <c r="AF4" s="93"/>
      <c r="AG4" s="94"/>
      <c r="AH4" s="94"/>
      <c r="AI4" s="90"/>
      <c r="AJ4" s="3"/>
      <c r="AK4" s="3"/>
      <c r="CR4" t="s">
        <v>204</v>
      </c>
      <c r="CS4" t="s">
        <v>218</v>
      </c>
      <c r="CY4" s="3"/>
      <c r="CZ4" s="3"/>
      <c r="DA4" s="3"/>
      <c r="DB4" s="3"/>
    </row>
    <row r="5" spans="1:106" ht="11.25" customHeight="1" hidden="1">
      <c r="A5" s="3"/>
      <c r="B5" s="90"/>
      <c r="C5" s="90"/>
      <c r="D5" s="377"/>
      <c r="E5" s="377"/>
      <c r="F5" s="4"/>
      <c r="G5" s="329" t="s">
        <v>54</v>
      </c>
      <c r="H5" s="329"/>
      <c r="I5" s="329"/>
      <c r="J5" s="329"/>
      <c r="K5" s="329"/>
      <c r="L5" s="329"/>
      <c r="M5" s="314"/>
      <c r="N5" s="329" t="s">
        <v>55</v>
      </c>
      <c r="O5" s="329"/>
      <c r="P5" s="329"/>
      <c r="Q5" s="329"/>
      <c r="R5" s="329"/>
      <c r="S5" s="329"/>
      <c r="T5" s="315"/>
      <c r="U5" s="329" t="s">
        <v>56</v>
      </c>
      <c r="V5" s="329"/>
      <c r="W5" s="329"/>
      <c r="X5" s="329"/>
      <c r="Y5" s="329"/>
      <c r="Z5" s="329"/>
      <c r="AA5" s="315"/>
      <c r="AB5" s="329" t="s">
        <v>57</v>
      </c>
      <c r="AC5" s="329"/>
      <c r="AD5" s="329"/>
      <c r="AE5" s="329"/>
      <c r="AF5" s="329"/>
      <c r="AG5" s="329"/>
      <c r="AH5" s="316"/>
      <c r="AI5" s="90"/>
      <c r="AJ5" s="3"/>
      <c r="AK5" s="3"/>
      <c r="BR5">
        <v>1</v>
      </c>
      <c r="BS5">
        <v>4</v>
      </c>
      <c r="BU5">
        <v>3</v>
      </c>
      <c r="BX5">
        <v>2</v>
      </c>
      <c r="BY5">
        <v>5</v>
      </c>
      <c r="CD5" s="13" t="s">
        <v>3</v>
      </c>
      <c r="CE5" s="13"/>
      <c r="CF5" s="13"/>
      <c r="CG5" s="13"/>
      <c r="CR5" t="s">
        <v>205</v>
      </c>
      <c r="CS5" t="s">
        <v>219</v>
      </c>
      <c r="CY5" s="3"/>
      <c r="CZ5" s="3"/>
      <c r="DA5" s="3"/>
      <c r="DB5" s="3"/>
    </row>
    <row r="6" spans="1:106" ht="24" customHeight="1" thickBot="1">
      <c r="A6" s="3"/>
      <c r="B6" s="7"/>
      <c r="C6" s="8"/>
      <c r="D6" s="101" t="s">
        <v>2</v>
      </c>
      <c r="E6" s="101"/>
      <c r="F6" s="101"/>
      <c r="G6" s="101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388" t="s">
        <v>119</v>
      </c>
      <c r="V6" s="388"/>
      <c r="W6" s="348" t="s">
        <v>231</v>
      </c>
      <c r="X6" s="34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11"/>
      <c r="CR6" t="s">
        <v>59</v>
      </c>
      <c r="CS6" t="s">
        <v>63</v>
      </c>
      <c r="CY6" s="3"/>
      <c r="CZ6" s="3"/>
      <c r="DA6" s="3"/>
      <c r="DB6" s="3"/>
    </row>
    <row r="7" spans="1:106" ht="15.75" customHeight="1" hidden="1" thickBot="1">
      <c r="A7" s="3"/>
      <c r="B7" s="10"/>
      <c r="C7" s="11"/>
      <c r="D7" s="100"/>
      <c r="E7" s="100"/>
      <c r="F7" s="100"/>
      <c r="G7" s="100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4"/>
      <c r="V7" s="14"/>
      <c r="W7" s="11"/>
      <c r="X7" s="12"/>
      <c r="Y7" s="12"/>
      <c r="Z7" s="346" t="str">
        <f>IF(OR(COUNT(W8:X13)=0,NOT($AM$3)),"Aktuelle Tipptabelle",IF(COUNT(W8:X13)=12,"Endtabelle","Tabellenstand"))</f>
        <v>Aktuelle Tipptabelle</v>
      </c>
      <c r="AA7" s="346"/>
      <c r="AB7" s="346"/>
      <c r="AC7" s="346"/>
      <c r="AD7" s="346"/>
      <c r="AE7" s="11"/>
      <c r="AF7" s="325" t="s">
        <v>4</v>
      </c>
      <c r="AG7" s="325" t="s">
        <v>5</v>
      </c>
      <c r="AH7" s="325"/>
      <c r="AI7" s="325" t="s">
        <v>6</v>
      </c>
      <c r="AJ7" s="325" t="s">
        <v>7</v>
      </c>
      <c r="AK7" s="312"/>
      <c r="AL7" t="s">
        <v>8</v>
      </c>
      <c r="AP7" t="s">
        <v>9</v>
      </c>
      <c r="AR7" t="s">
        <v>10</v>
      </c>
      <c r="AS7" t="s">
        <v>11</v>
      </c>
      <c r="AT7" t="s">
        <v>12</v>
      </c>
      <c r="AU7" t="s">
        <v>13</v>
      </c>
      <c r="AV7" t="s">
        <v>14</v>
      </c>
      <c r="AX7" t="s">
        <v>15</v>
      </c>
      <c r="AY7" s="15">
        <f>AX8</f>
        <v>1</v>
      </c>
      <c r="AZ7" s="15">
        <f>AX9</f>
        <v>2</v>
      </c>
      <c r="BA7" s="15">
        <f>AX10</f>
        <v>3</v>
      </c>
      <c r="BB7" s="15">
        <f>AX11</f>
        <v>4</v>
      </c>
      <c r="BD7" t="s">
        <v>16</v>
      </c>
      <c r="BE7" s="15">
        <f>AY7</f>
        <v>1</v>
      </c>
      <c r="BF7" s="15">
        <f>AZ7</f>
        <v>2</v>
      </c>
      <c r="BG7" s="15">
        <f>BA7</f>
        <v>3</v>
      </c>
      <c r="BH7" s="15">
        <f>BB7</f>
        <v>4</v>
      </c>
      <c r="BJ7" t="s">
        <v>17</v>
      </c>
      <c r="BK7" s="15">
        <f>AY7</f>
        <v>1</v>
      </c>
      <c r="BL7" s="15">
        <f>AZ7</f>
        <v>2</v>
      </c>
      <c r="BM7" s="15">
        <f>BA7</f>
        <v>3</v>
      </c>
      <c r="BN7" s="15">
        <f>BB7</f>
        <v>4</v>
      </c>
      <c r="BR7" s="16" t="s">
        <v>7</v>
      </c>
      <c r="BS7" s="16" t="s">
        <v>5</v>
      </c>
      <c r="BT7" s="16" t="s">
        <v>18</v>
      </c>
      <c r="BU7" s="16" t="s">
        <v>19</v>
      </c>
      <c r="BV7" t="s">
        <v>20</v>
      </c>
      <c r="BW7" t="s">
        <v>21</v>
      </c>
      <c r="BX7" s="16" t="s">
        <v>22</v>
      </c>
      <c r="BY7" s="16" t="s">
        <v>23</v>
      </c>
      <c r="BZ7" t="s">
        <v>24</v>
      </c>
      <c r="CA7" t="s">
        <v>21</v>
      </c>
      <c r="CB7" t="s">
        <v>25</v>
      </c>
      <c r="CC7" s="17"/>
      <c r="CD7" s="18" t="s">
        <v>7</v>
      </c>
      <c r="CE7" s="18" t="s">
        <v>26</v>
      </c>
      <c r="CF7" s="18" t="s">
        <v>18</v>
      </c>
      <c r="CG7" s="18" t="s">
        <v>19</v>
      </c>
      <c r="CH7" s="18" t="s">
        <v>27</v>
      </c>
      <c r="CI7" s="19" t="s">
        <v>28</v>
      </c>
      <c r="CR7" t="s">
        <v>206</v>
      </c>
      <c r="CS7" t="s">
        <v>220</v>
      </c>
      <c r="CY7" s="3"/>
      <c r="CZ7" s="3"/>
      <c r="DA7" s="3"/>
      <c r="DB7" s="3"/>
    </row>
    <row r="8" spans="1:106" ht="12" customHeight="1">
      <c r="A8" s="3"/>
      <c r="B8" s="10"/>
      <c r="C8" s="11"/>
      <c r="D8" s="375" t="s">
        <v>64</v>
      </c>
      <c r="E8" s="376"/>
      <c r="F8" s="376"/>
      <c r="G8" s="376"/>
      <c r="H8" s="376" t="s">
        <v>65</v>
      </c>
      <c r="I8" s="376"/>
      <c r="J8" s="376"/>
      <c r="K8" s="332" t="s">
        <v>58</v>
      </c>
      <c r="L8" s="333"/>
      <c r="M8" s="333"/>
      <c r="N8" s="333"/>
      <c r="O8" s="333"/>
      <c r="P8" s="334" t="s">
        <v>203</v>
      </c>
      <c r="Q8" s="334"/>
      <c r="R8" s="334"/>
      <c r="S8" s="334"/>
      <c r="T8" s="334"/>
      <c r="U8" s="155"/>
      <c r="V8" s="156"/>
      <c r="W8" s="318"/>
      <c r="X8" s="319"/>
      <c r="Y8" s="12"/>
      <c r="Z8" s="347"/>
      <c r="AA8" s="347"/>
      <c r="AB8" s="347"/>
      <c r="AC8" s="347"/>
      <c r="AD8" s="347"/>
      <c r="AE8" s="12"/>
      <c r="AF8" s="325"/>
      <c r="AG8" s="325"/>
      <c r="AH8" s="325"/>
      <c r="AI8" s="325"/>
      <c r="AJ8" s="325"/>
      <c r="AK8" s="312"/>
      <c r="AL8">
        <v>1</v>
      </c>
      <c r="AM8">
        <v>1</v>
      </c>
      <c r="AN8">
        <v>2</v>
      </c>
      <c r="AP8" t="str">
        <f aca="true" t="shared" si="0" ref="AP8:AP13">AM8&amp;"#"&amp;AN8</f>
        <v>1#2</v>
      </c>
      <c r="AQ8" t="str">
        <f aca="true" t="shared" si="1" ref="AQ8:AQ13">AN8&amp;"#"&amp;AM8</f>
        <v>2#1</v>
      </c>
      <c r="AR8">
        <f aca="true" t="shared" si="2" ref="AR8:AR13">IF(COUNT(CU8:CV8)&lt;&gt;2,0,CU8)</f>
        <v>0</v>
      </c>
      <c r="AS8">
        <f aca="true" t="shared" si="3" ref="AS8:AS13">IF(COUNT(CU8:CV8)&lt;&gt;2,0,CV8)</f>
        <v>0</v>
      </c>
      <c r="AT8">
        <f aca="true" t="shared" si="4" ref="AT8:AT13">IF(COUNT(CU8:CV8)&lt;&gt;2,0,IF(AR8&gt;AS8,3,IF(AR8&lt;AS8,0,1)))</f>
        <v>0</v>
      </c>
      <c r="AU8">
        <f aca="true" t="shared" si="5" ref="AU8:AU13">IF(COUNT(CU8:CV8)&lt;&gt;2,0,IF(AR8&lt;AS8,3,IF(AR8&gt;AS8,0,1)))</f>
        <v>0</v>
      </c>
      <c r="AV8">
        <f aca="true" t="shared" si="6" ref="AV8:AV14">IF(SUM(AT8:AU8)&gt;0,AM8,0)</f>
        <v>0</v>
      </c>
      <c r="AW8">
        <f aca="true" t="shared" si="7" ref="AW8:AW14">IF(SUM(AT8:AU8)&gt;0,AN8,0)</f>
        <v>0</v>
      </c>
      <c r="AX8" s="15">
        <f>SMALL(AM8:AN9,1)</f>
        <v>1</v>
      </c>
      <c r="AY8">
        <f>SUMIF(AP8:AQ13,"="&amp;AX8&amp;"#"&amp;AY7,AT8:AU13)</f>
        <v>0</v>
      </c>
      <c r="AZ8">
        <f>SUMIF(AP8:AQ13,"="&amp;AX8&amp;"#"&amp;AZ7,AT8:AU13)</f>
        <v>0</v>
      </c>
      <c r="BA8">
        <f>SUMIF(AP8:AQ13,"="&amp;AX8&amp;"#"&amp;BA7,AT8:AU13)</f>
        <v>0</v>
      </c>
      <c r="BB8">
        <f>SUMIF(AP8:AQ13,"="&amp;AX8&amp;"#"&amp;BB7,AT8:AU13)</f>
        <v>0</v>
      </c>
      <c r="BD8" s="15">
        <f>AX8</f>
        <v>1</v>
      </c>
      <c r="BE8">
        <f>SUMIF(AP8:AQ13,"="&amp;BD8&amp;"#"&amp;BE7,AR8:AS13)</f>
        <v>0</v>
      </c>
      <c r="BF8">
        <f>SUMIF(AP8:AQ13,"="&amp;BD8&amp;"#"&amp;BF7,AR8:AS13)</f>
        <v>0</v>
      </c>
      <c r="BG8">
        <f>SUMIF(AP8:AQ13,"="&amp;BD8&amp;"#"&amp;BG7,AR8:AS13)</f>
        <v>0</v>
      </c>
      <c r="BH8">
        <f>SUMIF(AP8:AQ13,"="&amp;BD8&amp;"#"&amp;BH7,AR8:AS13)</f>
        <v>0</v>
      </c>
      <c r="BJ8" s="15">
        <f>AX8</f>
        <v>1</v>
      </c>
      <c r="BK8">
        <f>SUMIF(AP8:AP13,"="&amp;BD8&amp;"#"&amp;BE7,AS8:AS13)+SUMIF(AQ8:AQ13,"="&amp;BD8&amp;"#"&amp;BE7,AR8:AR13)</f>
        <v>0</v>
      </c>
      <c r="BL8">
        <f>SUMIF(AP8:AP13,"="&amp;BD8&amp;"#"&amp;BF7,AS8:AS13)+SUMIF(AQ8:AQ13,"="&amp;BD8&amp;"#"&amp;BF7,AR8:AR13)</f>
        <v>0</v>
      </c>
      <c r="BM8">
        <f>SUMIF(AP8:AP13,"="&amp;BD8&amp;"#"&amp;BG7,AS8:AS13)+SUMIF(AQ8:AQ13,"="&amp;BD8&amp;"#"&amp;BG7,AR8:AR13)</f>
        <v>0</v>
      </c>
      <c r="BN8">
        <f>SUMIF(AP8:AP13,"="&amp;BD8&amp;"#"&amp;BH7,AS8:AS13)+SUMIF(AQ8:AQ13,"="&amp;BD8&amp;"#"&amp;BH7,AR8:AR13)</f>
        <v>0</v>
      </c>
      <c r="BQ8" s="15">
        <f>AX8</f>
        <v>1</v>
      </c>
      <c r="BR8" s="16">
        <f>SUMIF(AM8:AN13,"="&amp;BQ8,AT8:AU13)</f>
        <v>0</v>
      </c>
      <c r="BS8" s="16">
        <f>SUMIF(AM8:AN13,"="&amp;BQ8,AR8:AS13)</f>
        <v>0</v>
      </c>
      <c r="BT8" s="16">
        <f>SUMIF(AM8:AM13,"="&amp;BQ8,AS8:AS13)+SUMIF(AN8:AN13,"="&amp;BQ8,AR8:AR13)</f>
        <v>0</v>
      </c>
      <c r="BU8" s="16">
        <f>BS8-BT8</f>
        <v>0</v>
      </c>
      <c r="BV8">
        <f>BR8*10000+BU8*100+BS8</f>
        <v>0</v>
      </c>
      <c r="BW8">
        <f>RANK(BV8,BV8:BV11)</f>
        <v>1</v>
      </c>
      <c r="BX8">
        <f>BT13</f>
        <v>1</v>
      </c>
      <c r="BY8">
        <f>SUMIF(CK14:CL14,"="&amp;BQ8,CO14:CP14)</f>
        <v>0</v>
      </c>
      <c r="BZ8" s="16">
        <f>SUMPRODUCT(BR8:BY8,faktoren)</f>
        <v>100</v>
      </c>
      <c r="CA8">
        <f>RANK(BZ8,BZ8:BZ11)</f>
        <v>1</v>
      </c>
      <c r="CB8">
        <f>CA8+COUNTIF(CA7:CA7,"="&amp;CA8)</f>
        <v>1</v>
      </c>
      <c r="CC8" s="21">
        <f>AX8</f>
        <v>1</v>
      </c>
      <c r="CD8" s="16">
        <f>SUMIF(AM8:AN11,"="&amp;CC8,AT8:AU11)</f>
        <v>0</v>
      </c>
      <c r="CE8" s="16">
        <f>SUMIF(AM8:AN11,"="&amp;CC8,AR8:AS11)</f>
        <v>0</v>
      </c>
      <c r="CF8" s="16">
        <f>SUMIF(AM8:AM11,"="&amp;CC8,AS8:AS11)+SUMIF(AN8:AN11,"="&amp;CC8,AR8:AR11)</f>
        <v>0</v>
      </c>
      <c r="CG8" s="16">
        <f>CE8-CF8</f>
        <v>0</v>
      </c>
      <c r="CH8" s="16">
        <f>CD8*10000+CG8*100+CE8</f>
        <v>0</v>
      </c>
      <c r="CI8" s="19" t="s">
        <v>29</v>
      </c>
      <c r="CJ8" s="19" t="s">
        <v>6</v>
      </c>
      <c r="CK8" s="22" t="s">
        <v>30</v>
      </c>
      <c r="CL8" s="22" t="s">
        <v>31</v>
      </c>
      <c r="CM8" s="22" t="s">
        <v>23</v>
      </c>
      <c r="CN8" s="22" t="s">
        <v>21</v>
      </c>
      <c r="CO8" s="19"/>
      <c r="CP8" s="19"/>
      <c r="CQ8" s="19"/>
      <c r="CR8" s="19" t="s">
        <v>207</v>
      </c>
      <c r="CS8" s="19" t="s">
        <v>166</v>
      </c>
      <c r="CT8" s="19"/>
      <c r="CU8" s="155">
        <f aca="true" t="shared" si="8" ref="CU8:CU13">IF(OR(NOT($AM$3),COUNT(W8:X8)&lt;&gt;2),IF(COUNT(U8:V8)=2,U8,""),W8)</f>
      </c>
      <c r="CV8" s="156">
        <f aca="true" t="shared" si="9" ref="CV8:CV13">IF(OR(NOT($AM$3),COUNT(W8:X8)&lt;&gt;2),IF(COUNT(U8:V8)=2,V8,""),X8)</f>
      </c>
      <c r="CY8" s="3"/>
      <c r="CZ8" s="3"/>
      <c r="DA8" s="3"/>
      <c r="DB8" s="3"/>
    </row>
    <row r="9" spans="1:106" ht="12" customHeight="1">
      <c r="A9" s="3"/>
      <c r="B9" s="10"/>
      <c r="C9" s="11"/>
      <c r="D9" s="341" t="s">
        <v>66</v>
      </c>
      <c r="E9" s="342"/>
      <c r="F9" s="342"/>
      <c r="G9" s="342"/>
      <c r="H9" s="342" t="s">
        <v>67</v>
      </c>
      <c r="I9" s="342"/>
      <c r="J9" s="342"/>
      <c r="K9" s="343" t="s">
        <v>204</v>
      </c>
      <c r="L9" s="344"/>
      <c r="M9" s="344"/>
      <c r="N9" s="344"/>
      <c r="O9" s="344"/>
      <c r="P9" s="328" t="s">
        <v>205</v>
      </c>
      <c r="Q9" s="328"/>
      <c r="R9" s="328"/>
      <c r="S9" s="328"/>
      <c r="T9" s="328"/>
      <c r="U9" s="157"/>
      <c r="V9" s="158"/>
      <c r="W9" s="320"/>
      <c r="X9" s="321"/>
      <c r="Y9" s="12"/>
      <c r="Z9" s="23">
        <v>1</v>
      </c>
      <c r="AA9" s="324" t="str">
        <f>INDEX(teams_lang,CA13)</f>
        <v>Schweiz</v>
      </c>
      <c r="AB9" s="324"/>
      <c r="AC9" s="324"/>
      <c r="AD9" s="324"/>
      <c r="AE9" s="324"/>
      <c r="AF9" s="24">
        <f>COUNTIF(AV8:AW13,"="&amp;CA13)</f>
        <v>0</v>
      </c>
      <c r="AG9" s="25">
        <f>INDEX(BS8:BS11,BZ13)</f>
        <v>0</v>
      </c>
      <c r="AH9" s="26">
        <f>INDEX(BT8:BT11,BZ13)</f>
        <v>0</v>
      </c>
      <c r="AI9" s="27">
        <f>INDEX(BU8:BU11,BZ13)</f>
        <v>0</v>
      </c>
      <c r="AJ9" s="28">
        <f>INDEX(BR8:BR11,BZ13)</f>
        <v>0</v>
      </c>
      <c r="AK9" s="312"/>
      <c r="AL9">
        <v>2</v>
      </c>
      <c r="AM9">
        <v>3</v>
      </c>
      <c r="AN9">
        <v>4</v>
      </c>
      <c r="AP9" t="str">
        <f t="shared" si="0"/>
        <v>3#4</v>
      </c>
      <c r="AQ9" t="str">
        <f t="shared" si="1"/>
        <v>4#3</v>
      </c>
      <c r="AR9">
        <f t="shared" si="2"/>
        <v>0</v>
      </c>
      <c r="AS9">
        <f t="shared" si="3"/>
        <v>0</v>
      </c>
      <c r="AT9">
        <f t="shared" si="4"/>
        <v>0</v>
      </c>
      <c r="AU9">
        <f t="shared" si="5"/>
        <v>0</v>
      </c>
      <c r="AV9">
        <f t="shared" si="6"/>
        <v>0</v>
      </c>
      <c r="AW9">
        <f t="shared" si="7"/>
        <v>0</v>
      </c>
      <c r="AX9" s="15">
        <f>SMALL(AM8:AN9,2)</f>
        <v>2</v>
      </c>
      <c r="AY9">
        <f>SUMIF(AP8:AQ13,"="&amp;AX9&amp;"#"&amp;AY7,AT8:AU13)</f>
        <v>0</v>
      </c>
      <c r="AZ9">
        <f>SUMIF(AP8:AQ13,"="&amp;AX9&amp;"#"&amp;AZ7,AT8:AU13)</f>
        <v>0</v>
      </c>
      <c r="BA9">
        <f>SUMIF(AP8:AQ13,"="&amp;AX9&amp;"#"&amp;BA7,AT8:AU13)</f>
        <v>0</v>
      </c>
      <c r="BB9">
        <f>SUMIF(AP8:AQ13,"="&amp;AX9&amp;"#"&amp;BB7,AT8:AU13)</f>
        <v>0</v>
      </c>
      <c r="BD9" s="15">
        <f>AX9</f>
        <v>2</v>
      </c>
      <c r="BE9">
        <f>SUMIF(AP8:AQ13,"="&amp;BD9&amp;"#"&amp;BE7,AR8:AS13)</f>
        <v>0</v>
      </c>
      <c r="BF9">
        <f>SUMIF(AP8:AQ13,"="&amp;BD9&amp;"#"&amp;BF7,AR8:AS13)</f>
        <v>0</v>
      </c>
      <c r="BG9">
        <f>SUMIF(AP8:AQ13,"="&amp;BD9&amp;"#"&amp;BG7,AR8:AS13)</f>
        <v>0</v>
      </c>
      <c r="BH9">
        <f>SUMIF(AP8:AQ13,"="&amp;BD9&amp;"#"&amp;BH7,AR8:AS13)</f>
        <v>0</v>
      </c>
      <c r="BJ9" s="15">
        <f>AX9</f>
        <v>2</v>
      </c>
      <c r="BK9">
        <f>SUMIF(AP8:AP13,"="&amp;BD9&amp;"#"&amp;BE7,AS8:AS13)+SUMIF(AQ8:AQ13,"="&amp;BD9&amp;"#"&amp;BE7,AR8:AR13)</f>
        <v>0</v>
      </c>
      <c r="BL9">
        <f>SUMIF(AP8:AP13,"="&amp;BD9&amp;"#"&amp;BF7,AS8:AS13)+SUMIF(AQ8:AQ13,"="&amp;BD9&amp;"#"&amp;BF7,AR8:AR13)</f>
        <v>0</v>
      </c>
      <c r="BM9">
        <f>SUMIF(AP8:AP13,"="&amp;BD9&amp;"#"&amp;BG7,AS8:AS13)+SUMIF(AQ8:AQ13,"="&amp;BD9&amp;"#"&amp;BG7,AR8:AR13)</f>
        <v>0</v>
      </c>
      <c r="BN9">
        <f>SUMIF(AP8:AP13,"="&amp;BD9&amp;"#"&amp;BH7,AS8:AS13)+SUMIF(AQ8:AQ13,"="&amp;BD9&amp;"#"&amp;BH7,AR8:AR13)</f>
        <v>0</v>
      </c>
      <c r="BQ9" s="15">
        <f>AX9</f>
        <v>2</v>
      </c>
      <c r="BR9" s="16">
        <f>SUMIF(AM8:AN13,"="&amp;BQ9,AT8:AU13)</f>
        <v>0</v>
      </c>
      <c r="BS9" s="16">
        <f>SUMIF(AM8:AN13,"="&amp;BQ9,AR8:AS13)</f>
        <v>0</v>
      </c>
      <c r="BT9" s="16">
        <f>SUMIF(AM8:AM13,"="&amp;BQ9,AS8:AS13)+SUMIF(AN8:AN13,"="&amp;BQ9,AR8:AR13)</f>
        <v>0</v>
      </c>
      <c r="BU9" s="16">
        <f>BS9-BT9</f>
        <v>0</v>
      </c>
      <c r="BV9">
        <f>BR9*10000+BU9*100+BS9</f>
        <v>0</v>
      </c>
      <c r="BW9">
        <f>RANK(BV9,BV8:BV11)</f>
        <v>1</v>
      </c>
      <c r="BX9">
        <f>BT14</f>
        <v>1</v>
      </c>
      <c r="BY9">
        <f>SUMIF(CK14:CL14,"="&amp;BQ9,CO14:CP14)</f>
        <v>0</v>
      </c>
      <c r="BZ9" s="16">
        <f>SUMPRODUCT(BR9:BY9,faktoren)</f>
        <v>100</v>
      </c>
      <c r="CA9">
        <f>RANK(BZ9,BZ8:BZ11)</f>
        <v>1</v>
      </c>
      <c r="CB9">
        <f>CA9+COUNTIF(CA7:CA8,"="&amp;CA9)</f>
        <v>2</v>
      </c>
      <c r="CC9" s="21">
        <f>AX9</f>
        <v>2</v>
      </c>
      <c r="CD9" s="16">
        <f>SUMIF(AM8:AN11,"="&amp;CC9,AT8:AU11)</f>
        <v>0</v>
      </c>
      <c r="CE9" s="16">
        <f>SUMIF(AM8:AN11,"="&amp;CC9,AR8:AS11)</f>
        <v>0</v>
      </c>
      <c r="CF9" s="16">
        <f>SUMIF(AM8:AM11,"="&amp;CC9,AS8:AS11)+SUMIF(AN8:AN11,"="&amp;CC9,AR8:AR11)</f>
        <v>0</v>
      </c>
      <c r="CG9" s="16">
        <f>CE9-CF9</f>
        <v>0</v>
      </c>
      <c r="CH9" s="16">
        <f>CD9*10000+CG9*100+CE9</f>
        <v>0</v>
      </c>
      <c r="CI9" s="19">
        <v>1</v>
      </c>
      <c r="CJ9" s="22">
        <f>INDEX(CH8:CH11,AM14)-INDEX(CH8:CH11,AN14)</f>
        <v>0</v>
      </c>
      <c r="CK9" s="22" t="b">
        <f>CJ9=0</f>
        <v>1</v>
      </c>
      <c r="CL9" s="22" t="b">
        <f>AND(AT12=1,AU12=1)</f>
        <v>0</v>
      </c>
      <c r="CM9" s="22" t="b">
        <f>AND(CK9,CL9,COUNTIF(BV8:BV11,"="&amp;INDEX(BV8:BV11,AM14))=2)</f>
        <v>0</v>
      </c>
      <c r="CN9" s="19">
        <f>INDEX(BW8:BW11,AM14)</f>
        <v>1</v>
      </c>
      <c r="CO9" s="19"/>
      <c r="CP9" s="19"/>
      <c r="CQ9" s="19"/>
      <c r="CR9" s="19" t="s">
        <v>208</v>
      </c>
      <c r="CS9" s="19" t="s">
        <v>221</v>
      </c>
      <c r="CT9" s="19"/>
      <c r="CU9" s="157">
        <f t="shared" si="8"/>
      </c>
      <c r="CV9" s="158">
        <f t="shared" si="9"/>
      </c>
      <c r="CY9" s="3"/>
      <c r="CZ9" s="3"/>
      <c r="DA9" s="3"/>
      <c r="DB9" s="3"/>
    </row>
    <row r="10" spans="1:106" ht="12" customHeight="1">
      <c r="A10" s="3"/>
      <c r="B10" s="10"/>
      <c r="C10" s="11"/>
      <c r="D10" s="341" t="s">
        <v>68</v>
      </c>
      <c r="E10" s="342"/>
      <c r="F10" s="342"/>
      <c r="G10" s="342"/>
      <c r="H10" s="342" t="s">
        <v>67</v>
      </c>
      <c r="I10" s="342"/>
      <c r="J10" s="342"/>
      <c r="K10" s="343" t="s">
        <v>203</v>
      </c>
      <c r="L10" s="344"/>
      <c r="M10" s="344"/>
      <c r="N10" s="344"/>
      <c r="O10" s="344"/>
      <c r="P10" s="328" t="s">
        <v>204</v>
      </c>
      <c r="Q10" s="328"/>
      <c r="R10" s="328"/>
      <c r="S10" s="328"/>
      <c r="T10" s="328"/>
      <c r="U10" s="157"/>
      <c r="V10" s="158"/>
      <c r="W10" s="320"/>
      <c r="X10" s="321"/>
      <c r="Y10" s="12"/>
      <c r="Z10" s="29">
        <v>2</v>
      </c>
      <c r="AA10" s="340" t="str">
        <f>INDEX(teams_lang,CA14)</f>
        <v>Tschechien</v>
      </c>
      <c r="AB10" s="340"/>
      <c r="AC10" s="340"/>
      <c r="AD10" s="340"/>
      <c r="AE10" s="340"/>
      <c r="AF10" s="30">
        <f>COUNTIF(AV8:AW13,"="&amp;CA14)</f>
        <v>0</v>
      </c>
      <c r="AG10" s="31">
        <f>INDEX(BS8:BS11,BZ14)</f>
        <v>0</v>
      </c>
      <c r="AH10" s="32">
        <f>INDEX(BT8:BT11,BZ14)</f>
        <v>0</v>
      </c>
      <c r="AI10" s="33">
        <f>INDEX(BU8:BU11,BZ14)</f>
        <v>0</v>
      </c>
      <c r="AJ10" s="34">
        <f>INDEX(BR8:BR11,BZ14)</f>
        <v>0</v>
      </c>
      <c r="AK10" s="312"/>
      <c r="AL10">
        <v>3</v>
      </c>
      <c r="AM10">
        <v>2</v>
      </c>
      <c r="AN10">
        <v>3</v>
      </c>
      <c r="AP10" t="str">
        <f t="shared" si="0"/>
        <v>2#3</v>
      </c>
      <c r="AQ10" t="str">
        <f t="shared" si="1"/>
        <v>3#2</v>
      </c>
      <c r="AR10">
        <f t="shared" si="2"/>
        <v>0</v>
      </c>
      <c r="AS10">
        <f t="shared" si="3"/>
        <v>0</v>
      </c>
      <c r="AT10">
        <f t="shared" si="4"/>
        <v>0</v>
      </c>
      <c r="AU10">
        <f t="shared" si="5"/>
        <v>0</v>
      </c>
      <c r="AV10">
        <f t="shared" si="6"/>
        <v>0</v>
      </c>
      <c r="AW10">
        <f t="shared" si="7"/>
        <v>0</v>
      </c>
      <c r="AX10" s="15">
        <f>SMALL(AM8:AN9,3)</f>
        <v>3</v>
      </c>
      <c r="AY10">
        <f>SUMIF(AP8:AQ13,"="&amp;AX10&amp;"#"&amp;AY7,AT8:AU13)</f>
        <v>0</v>
      </c>
      <c r="AZ10">
        <f>SUMIF(AP8:AQ13,"="&amp;AX10&amp;"#"&amp;AZ7,AT8:AU13)</f>
        <v>0</v>
      </c>
      <c r="BA10">
        <f>SUMIF(AP8:AQ13,"="&amp;AX10&amp;"#"&amp;BA7,AT8:AU13)</f>
        <v>0</v>
      </c>
      <c r="BB10">
        <f>SUMIF(AP8:AQ13,"="&amp;AX10&amp;"#"&amp;BB7,AT8:AU13)</f>
        <v>0</v>
      </c>
      <c r="BD10" s="15">
        <f>AX10</f>
        <v>3</v>
      </c>
      <c r="BE10">
        <f>SUMIF(AP8:AQ13,"="&amp;BD10&amp;"#"&amp;BE7,AR8:AS13)</f>
        <v>0</v>
      </c>
      <c r="BF10">
        <f>SUMIF(AP8:AQ13,"="&amp;BD10&amp;"#"&amp;BF7,AR8:AS13)</f>
        <v>0</v>
      </c>
      <c r="BG10">
        <f>SUMIF(AP8:AQ13,"="&amp;BD10&amp;"#"&amp;BG7,AR8:AS13)</f>
        <v>0</v>
      </c>
      <c r="BH10">
        <f>SUMIF(AP8:AQ13,"="&amp;BD10&amp;"#"&amp;BH7,AR8:AS13)</f>
        <v>0</v>
      </c>
      <c r="BJ10" s="15">
        <f>AX10</f>
        <v>3</v>
      </c>
      <c r="BK10">
        <f>SUMIF(AP8:AP13,"="&amp;BD10&amp;"#"&amp;BE7,AS8:AS13)+SUMIF(AQ8:AQ13,"="&amp;BD10&amp;"#"&amp;BE7,AR8:AR13)</f>
        <v>0</v>
      </c>
      <c r="BL10">
        <f>SUMIF(AP8:AP13,"="&amp;BD10&amp;"#"&amp;BF7,AS8:AS13)+SUMIF(AQ8:AQ13,"="&amp;BD10&amp;"#"&amp;BF7,AR8:AR13)</f>
        <v>0</v>
      </c>
      <c r="BM10">
        <f>SUMIF(AP8:AP13,"="&amp;BD10&amp;"#"&amp;BG7,AS8:AS13)+SUMIF(AQ8:AQ13,"="&amp;BD10&amp;"#"&amp;BG7,AR8:AR13)</f>
        <v>0</v>
      </c>
      <c r="BN10">
        <f>SUMIF(AP8:AP13,"="&amp;BD10&amp;"#"&amp;BH7,AS8:AS13)+SUMIF(AQ8:AQ13,"="&amp;BD10&amp;"#"&amp;BH7,AR8:AR13)</f>
        <v>0</v>
      </c>
      <c r="BQ10" s="15">
        <f>AX10</f>
        <v>3</v>
      </c>
      <c r="BR10" s="16">
        <f>SUMIF(AM8:AN13,"="&amp;BQ10,AT8:AU13)</f>
        <v>0</v>
      </c>
      <c r="BS10" s="16">
        <f>SUMIF(AM8:AN13,"="&amp;BQ10,AR8:AS13)</f>
        <v>0</v>
      </c>
      <c r="BT10" s="16">
        <f>SUMIF(AM8:AM13,"="&amp;BQ10,AS8:AS13)+SUMIF(AN8:AN13,"="&amp;BQ10,AR8:AR13)</f>
        <v>0</v>
      </c>
      <c r="BU10" s="16">
        <f>BS10-BT10</f>
        <v>0</v>
      </c>
      <c r="BV10">
        <f>BR10*10000+BU10*100+BS10</f>
        <v>0</v>
      </c>
      <c r="BW10">
        <f>RANK(BV10,BV8:BV11)</f>
        <v>1</v>
      </c>
      <c r="BX10">
        <f>BT15</f>
        <v>1</v>
      </c>
      <c r="BY10">
        <f>SUMIF(CK14:CL14,"="&amp;BQ10,CO14:CP14)</f>
        <v>0</v>
      </c>
      <c r="BZ10" s="16">
        <f>SUMPRODUCT(BR10:BY10,faktoren)</f>
        <v>100</v>
      </c>
      <c r="CA10">
        <f>RANK(BZ10,BZ8:BZ11)</f>
        <v>1</v>
      </c>
      <c r="CB10">
        <f>CA10+COUNTIF(CA7:CA9,"="&amp;CA10)</f>
        <v>3</v>
      </c>
      <c r="CC10" s="21">
        <f>AX10</f>
        <v>3</v>
      </c>
      <c r="CD10" s="16">
        <f>SUMIF(AM8:AN11,"="&amp;CC10,AT8:AU11)</f>
        <v>0</v>
      </c>
      <c r="CE10" s="16">
        <f>SUMIF(AM8:AN11,"="&amp;CC10,AR8:AS11)</f>
        <v>0</v>
      </c>
      <c r="CF10" s="16">
        <f>SUMIF(AM8:AM11,"="&amp;CC10,AS8:AS11)+SUMIF(AN8:AN11,"="&amp;CC10,AR8:AR11)</f>
        <v>0</v>
      </c>
      <c r="CG10" s="16">
        <f>CE10-CF10</f>
        <v>0</v>
      </c>
      <c r="CH10" s="16">
        <f>CD10*10000+CG10*100+CE10</f>
        <v>0</v>
      </c>
      <c r="CI10" s="19">
        <v>2</v>
      </c>
      <c r="CJ10" s="22">
        <f>INDEX(CH8:CH11,AM15)-INDEX(CH8:CH11,AN15)</f>
        <v>0</v>
      </c>
      <c r="CK10" s="22" t="b">
        <f>CJ10=0</f>
        <v>1</v>
      </c>
      <c r="CL10" s="22" t="b">
        <f>AND(AT13=1,AU13=1)</f>
        <v>0</v>
      </c>
      <c r="CM10" s="22" t="b">
        <f>AND(CK10,CL10,COUNTIF(BV8:BV11,"="&amp;INDEX(BV8:BV11,AM15))=2)</f>
        <v>0</v>
      </c>
      <c r="CN10" s="19">
        <f>INDEX(BW8:BW11,AM15)</f>
        <v>1</v>
      </c>
      <c r="CO10" s="19"/>
      <c r="CP10" s="19"/>
      <c r="CQ10" s="19"/>
      <c r="CR10" s="19" t="s">
        <v>209</v>
      </c>
      <c r="CS10" s="19" t="s">
        <v>222</v>
      </c>
      <c r="CT10" s="19"/>
      <c r="CU10" s="157">
        <f t="shared" si="8"/>
      </c>
      <c r="CV10" s="158">
        <f t="shared" si="9"/>
      </c>
      <c r="CY10" s="3"/>
      <c r="CZ10" s="3"/>
      <c r="DA10" s="3"/>
      <c r="DB10" s="3"/>
    </row>
    <row r="11" spans="1:106" ht="12" customHeight="1">
      <c r="A11" s="3"/>
      <c r="B11" s="10"/>
      <c r="C11" s="11"/>
      <c r="D11" s="341" t="s">
        <v>69</v>
      </c>
      <c r="E11" s="342"/>
      <c r="F11" s="342"/>
      <c r="G11" s="342"/>
      <c r="H11" s="342" t="s">
        <v>65</v>
      </c>
      <c r="I11" s="342"/>
      <c r="J11" s="342"/>
      <c r="K11" s="343" t="s">
        <v>58</v>
      </c>
      <c r="L11" s="344"/>
      <c r="M11" s="344"/>
      <c r="N11" s="344"/>
      <c r="O11" s="344"/>
      <c r="P11" s="328" t="s">
        <v>205</v>
      </c>
      <c r="Q11" s="328"/>
      <c r="R11" s="328"/>
      <c r="S11" s="328"/>
      <c r="T11" s="328"/>
      <c r="U11" s="157"/>
      <c r="V11" s="158"/>
      <c r="W11" s="320"/>
      <c r="X11" s="321"/>
      <c r="Y11" s="12"/>
      <c r="Z11" s="35"/>
      <c r="AA11" s="35"/>
      <c r="AB11" s="35"/>
      <c r="AC11" s="36"/>
      <c r="AD11" s="37"/>
      <c r="AE11" s="37"/>
      <c r="AF11" s="35"/>
      <c r="AG11" s="38"/>
      <c r="AH11" s="39"/>
      <c r="AI11" s="35"/>
      <c r="AJ11" s="35"/>
      <c r="AK11" s="312"/>
      <c r="AL11">
        <v>4</v>
      </c>
      <c r="AM11">
        <v>1</v>
      </c>
      <c r="AN11">
        <v>4</v>
      </c>
      <c r="AP11" t="str">
        <f t="shared" si="0"/>
        <v>1#4</v>
      </c>
      <c r="AQ11" t="str">
        <f t="shared" si="1"/>
        <v>4#1</v>
      </c>
      <c r="AR11">
        <f t="shared" si="2"/>
        <v>0</v>
      </c>
      <c r="AS11">
        <f t="shared" si="3"/>
        <v>0</v>
      </c>
      <c r="AT11">
        <f t="shared" si="4"/>
        <v>0</v>
      </c>
      <c r="AU11">
        <f t="shared" si="5"/>
        <v>0</v>
      </c>
      <c r="AV11">
        <f t="shared" si="6"/>
        <v>0</v>
      </c>
      <c r="AW11">
        <f t="shared" si="7"/>
        <v>0</v>
      </c>
      <c r="AX11" s="15">
        <f>SMALL(AM8:AN9,4)</f>
        <v>4</v>
      </c>
      <c r="AY11">
        <f>SUMIF(AP8:AQ13,"="&amp;AX11&amp;"#"&amp;AY7,AT8:AU13)</f>
        <v>0</v>
      </c>
      <c r="AZ11">
        <f>SUMIF(AP8:AQ13,"="&amp;AX11&amp;"#"&amp;AZ7,AT8:AU13)</f>
        <v>0</v>
      </c>
      <c r="BA11">
        <f>SUMIF(AP8:AQ13,"="&amp;AX11&amp;"#"&amp;BA7,AT8:AU13)</f>
        <v>0</v>
      </c>
      <c r="BB11">
        <f>SUMIF(AP8:AQ13,"="&amp;AX11&amp;"#"&amp;BB7,AT8:AU13)</f>
        <v>0</v>
      </c>
      <c r="BD11" s="15">
        <f>AX11</f>
        <v>4</v>
      </c>
      <c r="BE11">
        <f>SUMIF(AP8:AQ13,"="&amp;BD11&amp;"#"&amp;BE7,AR8:AS13)</f>
        <v>0</v>
      </c>
      <c r="BF11">
        <f>SUMIF(AP8:AQ13,"="&amp;BD11&amp;"#"&amp;BF7,AR8:AS13)</f>
        <v>0</v>
      </c>
      <c r="BG11">
        <f>SUMIF(AP8:AQ13,"="&amp;BD11&amp;"#"&amp;BG7,AR8:AS13)</f>
        <v>0</v>
      </c>
      <c r="BH11">
        <f>SUMIF(AP8:AQ13,"="&amp;BD11&amp;"#"&amp;BH7,AR8:AS13)</f>
        <v>0</v>
      </c>
      <c r="BJ11" s="15">
        <f>AX11</f>
        <v>4</v>
      </c>
      <c r="BK11">
        <f>SUMIF(AP8:AP13,"="&amp;BD11&amp;"#"&amp;BE7,AS8:AS13)+SUMIF(AQ8:AQ13,"="&amp;BD11&amp;"#"&amp;BE7,AR8:AR13)</f>
        <v>0</v>
      </c>
      <c r="BL11">
        <f>SUMIF(AP8:AP13,"="&amp;BD11&amp;"#"&amp;BF7,AS8:AS13)+SUMIF(AQ8:AQ13,"="&amp;BD11&amp;"#"&amp;BF7,AR8:AR13)</f>
        <v>0</v>
      </c>
      <c r="BM11">
        <f>SUMIF(AP8:AP13,"="&amp;BD11&amp;"#"&amp;BG7,AS8:AS13)+SUMIF(AQ8:AQ13,"="&amp;BD11&amp;"#"&amp;BG7,AR8:AR13)</f>
        <v>0</v>
      </c>
      <c r="BN11">
        <f>SUMIF(AP8:AP13,"="&amp;BD11&amp;"#"&amp;BH7,AS8:AS13)+SUMIF(AQ8:AQ13,"="&amp;BD11&amp;"#"&amp;BH7,AR8:AR13)</f>
        <v>0</v>
      </c>
      <c r="BQ11" s="15">
        <f>AX11</f>
        <v>4</v>
      </c>
      <c r="BR11" s="16">
        <f>SUMIF(AM8:AN13,"="&amp;BQ11,AT8:AU13)</f>
        <v>0</v>
      </c>
      <c r="BS11" s="16">
        <f>SUMIF(AM8:AN13,"="&amp;BQ11,AR8:AS13)</f>
        <v>0</v>
      </c>
      <c r="BT11" s="16">
        <f>SUMIF(AM8:AM13,"="&amp;BQ11,AS8:AS13)+SUMIF(AN8:AN13,"="&amp;BQ11,AR8:AR13)</f>
        <v>0</v>
      </c>
      <c r="BU11" s="16">
        <f>BS11-BT11</f>
        <v>0</v>
      </c>
      <c r="BV11">
        <f>BR11*10000+BU11*100+BS11</f>
        <v>0</v>
      </c>
      <c r="BW11">
        <f>RANK(BV11,BV8:BV11)</f>
        <v>1</v>
      </c>
      <c r="BX11">
        <f>BT16</f>
        <v>1</v>
      </c>
      <c r="BY11">
        <f>SUMIF(CK14:CL14,"="&amp;BQ11,CO14:CP14)</f>
        <v>0</v>
      </c>
      <c r="BZ11" s="16">
        <f>SUMPRODUCT(BR11:BY11,faktoren)</f>
        <v>100</v>
      </c>
      <c r="CA11">
        <f>RANK(BZ11,BZ8:BZ11)</f>
        <v>1</v>
      </c>
      <c r="CB11">
        <f>CA11+COUNTIF(CA7:CA10,"="&amp;CA11)</f>
        <v>4</v>
      </c>
      <c r="CC11" s="21">
        <f>AX11</f>
        <v>4</v>
      </c>
      <c r="CD11" s="16">
        <f>SUMIF(AM8:AN11,"="&amp;CC11,AT8:AU11)</f>
        <v>0</v>
      </c>
      <c r="CE11" s="16">
        <f>SUMIF(AM8:AN11,"="&amp;CC11,AR8:AS11)</f>
        <v>0</v>
      </c>
      <c r="CF11" s="16">
        <f>SUMIF(AM8:AM11,"="&amp;CC11,AS8:AS11)+SUMIF(AN8:AN11,"="&amp;CC11,AR8:AR11)</f>
        <v>0</v>
      </c>
      <c r="CG11" s="16">
        <f>CE11-CF11</f>
        <v>0</v>
      </c>
      <c r="CH11" s="16">
        <f>CD11*10000+CG11*100+CE11</f>
        <v>0</v>
      </c>
      <c r="CR11" t="s">
        <v>210</v>
      </c>
      <c r="CS11" t="s">
        <v>223</v>
      </c>
      <c r="CU11" s="157">
        <f t="shared" si="8"/>
      </c>
      <c r="CV11" s="158">
        <f t="shared" si="9"/>
      </c>
      <c r="CY11" s="3"/>
      <c r="CZ11" s="3"/>
      <c r="DA11" s="3"/>
      <c r="DB11" s="3"/>
    </row>
    <row r="12" spans="1:106" ht="12" customHeight="1">
      <c r="A12" s="3"/>
      <c r="B12" s="10"/>
      <c r="C12" s="11"/>
      <c r="D12" s="341" t="s">
        <v>70</v>
      </c>
      <c r="E12" s="342"/>
      <c r="F12" s="342"/>
      <c r="G12" s="342"/>
      <c r="H12" s="342" t="s">
        <v>65</v>
      </c>
      <c r="I12" s="342"/>
      <c r="J12" s="342"/>
      <c r="K12" s="343" t="s">
        <v>58</v>
      </c>
      <c r="L12" s="344"/>
      <c r="M12" s="344"/>
      <c r="N12" s="344"/>
      <c r="O12" s="344"/>
      <c r="P12" s="328" t="s">
        <v>204</v>
      </c>
      <c r="Q12" s="328"/>
      <c r="R12" s="328"/>
      <c r="S12" s="328"/>
      <c r="T12" s="328"/>
      <c r="U12" s="157"/>
      <c r="V12" s="158"/>
      <c r="W12" s="320"/>
      <c r="X12" s="321"/>
      <c r="Y12" s="12"/>
      <c r="Z12" s="40">
        <v>3</v>
      </c>
      <c r="AA12" s="345" t="str">
        <f>INDEX(teams_lang,CA15)</f>
        <v>Portugal</v>
      </c>
      <c r="AB12" s="345"/>
      <c r="AC12" s="345"/>
      <c r="AD12" s="345"/>
      <c r="AE12" s="345"/>
      <c r="AF12" s="41">
        <f>COUNTIF(AV8:AW13,"="&amp;CA15)</f>
        <v>0</v>
      </c>
      <c r="AG12" s="42">
        <f>INDEX(BS8:BS11,BZ15)</f>
        <v>0</v>
      </c>
      <c r="AH12" s="43">
        <f>INDEX(BT8:BT11,BZ15)</f>
        <v>0</v>
      </c>
      <c r="AI12" s="44">
        <f>INDEX(BU8:BU11,BZ15)</f>
        <v>0</v>
      </c>
      <c r="AJ12" s="45">
        <f>INDEX(BR8:BR11,BZ15)</f>
        <v>0</v>
      </c>
      <c r="AK12" s="312"/>
      <c r="AL12">
        <v>5</v>
      </c>
      <c r="AM12">
        <v>1</v>
      </c>
      <c r="AN12">
        <v>3</v>
      </c>
      <c r="AP12" t="str">
        <f t="shared" si="0"/>
        <v>1#3</v>
      </c>
      <c r="AQ12" t="str">
        <f t="shared" si="1"/>
        <v>3#1</v>
      </c>
      <c r="AR12">
        <f t="shared" si="2"/>
        <v>0</v>
      </c>
      <c r="AS12">
        <f t="shared" si="3"/>
        <v>0</v>
      </c>
      <c r="AT12">
        <f t="shared" si="4"/>
        <v>0</v>
      </c>
      <c r="AU12">
        <f t="shared" si="5"/>
        <v>0</v>
      </c>
      <c r="AV12">
        <f t="shared" si="6"/>
        <v>0</v>
      </c>
      <c r="AW12">
        <f t="shared" si="7"/>
        <v>0</v>
      </c>
      <c r="BC12" t="s">
        <v>32</v>
      </c>
      <c r="BI12" t="s">
        <v>33</v>
      </c>
      <c r="BO12" t="s">
        <v>34</v>
      </c>
      <c r="BR12" t="s">
        <v>35</v>
      </c>
      <c r="BT12" t="s">
        <v>36</v>
      </c>
      <c r="BY12" s="46" t="s">
        <v>37</v>
      </c>
      <c r="BZ12" s="47" t="s">
        <v>29</v>
      </c>
      <c r="CA12" s="47" t="s">
        <v>38</v>
      </c>
      <c r="CB12" s="48" t="s">
        <v>39</v>
      </c>
      <c r="CC12" s="21" t="b">
        <f>COUNT(CB13:CB16)=4</f>
        <v>0</v>
      </c>
      <c r="CR12" t="s">
        <v>211</v>
      </c>
      <c r="CS12" t="s">
        <v>224</v>
      </c>
      <c r="CU12" s="157">
        <f t="shared" si="8"/>
      </c>
      <c r="CV12" s="158">
        <f t="shared" si="9"/>
      </c>
      <c r="CY12" s="3"/>
      <c r="CZ12" s="3"/>
      <c r="DA12" s="3"/>
      <c r="DB12" s="3"/>
    </row>
    <row r="13" spans="1:106" ht="12" customHeight="1" thickBot="1">
      <c r="A13" s="3"/>
      <c r="B13" s="10"/>
      <c r="C13" s="11"/>
      <c r="D13" s="349" t="s">
        <v>70</v>
      </c>
      <c r="E13" s="350"/>
      <c r="F13" s="350"/>
      <c r="G13" s="350"/>
      <c r="H13" s="350" t="s">
        <v>67</v>
      </c>
      <c r="I13" s="350"/>
      <c r="J13" s="350"/>
      <c r="K13" s="378" t="s">
        <v>205</v>
      </c>
      <c r="L13" s="379"/>
      <c r="M13" s="379"/>
      <c r="N13" s="379"/>
      <c r="O13" s="379"/>
      <c r="P13" s="380" t="s">
        <v>203</v>
      </c>
      <c r="Q13" s="380"/>
      <c r="R13" s="380"/>
      <c r="S13" s="380"/>
      <c r="T13" s="380"/>
      <c r="U13" s="159"/>
      <c r="V13" s="160"/>
      <c r="W13" s="322"/>
      <c r="X13" s="323"/>
      <c r="Y13" s="12"/>
      <c r="Z13" s="49">
        <v>4</v>
      </c>
      <c r="AA13" s="326" t="str">
        <f>INDEX(teams_lang,CA16)</f>
        <v>Türkei</v>
      </c>
      <c r="AB13" s="326"/>
      <c r="AC13" s="326"/>
      <c r="AD13" s="326"/>
      <c r="AE13" s="326"/>
      <c r="AF13" s="50">
        <f>COUNTIF(AV8:AW13,"="&amp;CA16)</f>
        <v>0</v>
      </c>
      <c r="AG13" s="51">
        <f>INDEX(BS8:BS11,BZ16)</f>
        <v>0</v>
      </c>
      <c r="AH13" s="52">
        <f>INDEX(BT8:BT11,BZ16)</f>
        <v>0</v>
      </c>
      <c r="AI13" s="53">
        <f>INDEX(BU8:BU11,BZ16)</f>
        <v>0</v>
      </c>
      <c r="AJ13" s="54">
        <f>INDEX(BR8:BR11,BZ16)</f>
        <v>0</v>
      </c>
      <c r="AK13" s="312"/>
      <c r="AL13">
        <v>6</v>
      </c>
      <c r="AM13">
        <v>4</v>
      </c>
      <c r="AN13">
        <v>2</v>
      </c>
      <c r="AP13" t="str">
        <f t="shared" si="0"/>
        <v>4#2</v>
      </c>
      <c r="AQ13" t="str">
        <f t="shared" si="1"/>
        <v>2#4</v>
      </c>
      <c r="AR13">
        <f t="shared" si="2"/>
        <v>0</v>
      </c>
      <c r="AS13">
        <f t="shared" si="3"/>
        <v>0</v>
      </c>
      <c r="AT13">
        <f t="shared" si="4"/>
        <v>0</v>
      </c>
      <c r="AU13">
        <f t="shared" si="5"/>
        <v>0</v>
      </c>
      <c r="AV13">
        <f t="shared" si="6"/>
        <v>0</v>
      </c>
      <c r="AW13">
        <f t="shared" si="7"/>
        <v>0</v>
      </c>
      <c r="AX13" s="15">
        <f>AX8</f>
        <v>1</v>
      </c>
      <c r="AY13">
        <f>IF(INDEX(BR8:BR11,$AX13)&lt;&gt;INDEX(BR8:BR11,AY$7),0,AY8)</f>
        <v>0</v>
      </c>
      <c r="AZ13">
        <f>IF(INDEX(BR8:BR11,$AX13)&lt;&gt;INDEX(BR8:BR11,AZ$7),0,AZ8)</f>
        <v>0</v>
      </c>
      <c r="BA13">
        <f>IF(INDEX(BR8:BR11,$AX13)&lt;&gt;INDEX(BR8:BR11,BA$7),0,BA8)</f>
        <v>0</v>
      </c>
      <c r="BB13">
        <f>IF(INDEX(BR8:BR11,$AX13)&lt;&gt;INDEX(BR8:BR11,BB$7),0,BB8)</f>
        <v>0</v>
      </c>
      <c r="BC13" s="55">
        <f>SUM(AY13:BB13)</f>
        <v>0</v>
      </c>
      <c r="BE13">
        <f>IF(INDEX(BR8:BR11,$AX13)&lt;&gt;INDEX(BR8:BR11,BE$7),0,BE8)</f>
        <v>0</v>
      </c>
      <c r="BF13">
        <f>IF(INDEX(BR8:BR11,$AX13)&lt;&gt;INDEX(BR8:BR11,BF$7),0,BF8)</f>
        <v>0</v>
      </c>
      <c r="BG13">
        <f>IF(INDEX(BR8:BR11,$AX13)&lt;&gt;INDEX(BR8:BR11,BG$7),0,BG8)</f>
        <v>0</v>
      </c>
      <c r="BH13">
        <f>IF(INDEX(BR8:BR11,$AX13)&lt;&gt;INDEX(BR8:BR11,BH$7),0,BH8)</f>
        <v>0</v>
      </c>
      <c r="BI13" s="55">
        <f>SUM(BE13:BH13)</f>
        <v>0</v>
      </c>
      <c r="BK13">
        <f>IF(INDEX(BR8:BR11,$AX13)&lt;&gt;INDEX(BR8:BR11,BK$7),0,BK8)</f>
        <v>0</v>
      </c>
      <c r="BL13">
        <f>IF(INDEX(BR8:BR11,$AX13)&lt;&gt;INDEX(BR8:BR11,BL$7),0,BL8)</f>
        <v>0</v>
      </c>
      <c r="BM13">
        <f>IF(INDEX(BR8:BR11,$AX13)&lt;&gt;INDEX(BR8:BR11,BM$7),0,BM8)</f>
        <v>0</v>
      </c>
      <c r="BN13">
        <f>IF(INDEX(BR8:BR11,$AX13)&lt;&gt;INDEX(BR8:BR11,BN$7),0,BN8)</f>
        <v>0</v>
      </c>
      <c r="BO13" s="55">
        <f>SUM(BK13:BN13)-BI13</f>
        <v>0</v>
      </c>
      <c r="BR13">
        <f>BC13*10000+BO13*100+BI13</f>
        <v>0</v>
      </c>
      <c r="BT13">
        <f>RANK(BR13,BR13:BR16,2)</f>
        <v>1</v>
      </c>
      <c r="BY13" s="56">
        <v>1</v>
      </c>
      <c r="BZ13" s="47">
        <f>IF(COUNT(CB13:CB16)=4,MATCH(BY13,CB13:CB16,0),MATCH(BY13,CB8:CB11,0))</f>
        <v>1</v>
      </c>
      <c r="CA13" s="47">
        <f>INDEX(BQ8:BQ11,BZ13)</f>
        <v>1</v>
      </c>
      <c r="CB13" s="57"/>
      <c r="CC13" t="s">
        <v>40</v>
      </c>
      <c r="CH13" s="16"/>
      <c r="CI13" s="16" t="s">
        <v>9</v>
      </c>
      <c r="CK13" s="58" t="s">
        <v>41</v>
      </c>
      <c r="CL13" s="58" t="s">
        <v>42</v>
      </c>
      <c r="CM13" s="59" t="s">
        <v>43</v>
      </c>
      <c r="CN13" s="59" t="s">
        <v>44</v>
      </c>
      <c r="CO13" s="60" t="s">
        <v>45</v>
      </c>
      <c r="CP13" s="60" t="s">
        <v>45</v>
      </c>
      <c r="CR13" t="s">
        <v>212</v>
      </c>
      <c r="CS13" t="s">
        <v>225</v>
      </c>
      <c r="CU13" s="159">
        <f t="shared" si="8"/>
      </c>
      <c r="CV13" s="160">
        <f t="shared" si="9"/>
      </c>
      <c r="CY13" s="3"/>
      <c r="CZ13" s="3"/>
      <c r="DA13" s="3"/>
      <c r="DB13" s="3"/>
    </row>
    <row r="14" spans="1:106" ht="12" customHeight="1">
      <c r="A14" s="3"/>
      <c r="B14" s="10"/>
      <c r="C14" s="11"/>
      <c r="D14" s="337">
        <f>IF(CJ14=0,"","Entscheidungselfmeterschießen:")</f>
      </c>
      <c r="E14" s="337"/>
      <c r="F14" s="337"/>
      <c r="G14" s="337"/>
      <c r="H14" s="337"/>
      <c r="I14" s="337"/>
      <c r="J14" s="337"/>
      <c r="K14" s="337">
        <f>IF(CJ14=0,"",CK15)</f>
      </c>
      <c r="L14" s="337"/>
      <c r="M14" s="337"/>
      <c r="N14" s="337"/>
      <c r="O14" s="337"/>
      <c r="P14" s="338">
        <f>IF(CJ14=0,"",":  "&amp;CL15)</f>
      </c>
      <c r="Q14" s="338"/>
      <c r="R14" s="338"/>
      <c r="S14" s="338"/>
      <c r="T14" s="338"/>
      <c r="U14" s="161"/>
      <c r="V14" s="162"/>
      <c r="W14" s="20"/>
      <c r="X14" s="12"/>
      <c r="Y14" s="12"/>
      <c r="Z14" s="359">
        <f>IF(CC12,"Korrigierte Tabelle!","")</f>
      </c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2"/>
      <c r="AL14" t="s">
        <v>46</v>
      </c>
      <c r="AM14">
        <f>MATCH(AM12,AX8:AX11,0)</f>
        <v>1</v>
      </c>
      <c r="AN14">
        <f>MATCH(AN12,AX8:AX11,0)</f>
        <v>3</v>
      </c>
      <c r="AR14">
        <f>IF(COUNT(U14:V14)&lt;&gt;2,0,U14)</f>
        <v>0</v>
      </c>
      <c r="AS14">
        <f>IF(COUNT(U14:V14)&lt;&gt;2,0,V14)</f>
        <v>0</v>
      </c>
      <c r="AT14">
        <f>IF(COUNT(U14:V14)&lt;&gt;2,0,IF(AR14&gt;AS14,3,IF(AR14&lt;AS14,0,1)))</f>
        <v>0</v>
      </c>
      <c r="AU14">
        <f>IF(COUNT(U14:V14)&lt;&gt;2,0,IF(AR14&lt;AS14,3,IF(AR14&gt;AS14,0,1)))</f>
        <v>0</v>
      </c>
      <c r="AV14">
        <f t="shared" si="6"/>
        <v>0</v>
      </c>
      <c r="AW14">
        <f t="shared" si="7"/>
        <v>0</v>
      </c>
      <c r="AX14" s="15">
        <f>AX9</f>
        <v>2</v>
      </c>
      <c r="AY14">
        <f>IF(INDEX(BR8:BR11,$AX14)&lt;&gt;INDEX(BR8:BR11,AY$7),0,AY9)</f>
        <v>0</v>
      </c>
      <c r="AZ14">
        <f>IF(INDEX(BR8:BR11,$AX14)&lt;&gt;INDEX(BR8:BR11,AZ$7),0,AZ9)</f>
        <v>0</v>
      </c>
      <c r="BA14">
        <f>IF(INDEX(BR8:BR11,$AX14)&lt;&gt;INDEX(BR8:BR11,BA$7),0,BA9)</f>
        <v>0</v>
      </c>
      <c r="BB14">
        <f>IF(INDEX(BR8:BR11,$AX14)&lt;&gt;INDEX(BR8:BR11,BB$7),0,BB9)</f>
        <v>0</v>
      </c>
      <c r="BC14" s="55">
        <f>SUM(AY14:BB14)</f>
        <v>0</v>
      </c>
      <c r="BE14">
        <f>IF(INDEX(BR8:BR11,$AX14)&lt;&gt;INDEX(BR8:BR11,BE$7),0,BE9)</f>
        <v>0</v>
      </c>
      <c r="BF14">
        <f>IF(INDEX(BR8:BR11,$AX14)&lt;&gt;INDEX(BR8:BR11,BF$7),0,BF9)</f>
        <v>0</v>
      </c>
      <c r="BG14">
        <f>IF(INDEX(BR8:BR11,$AX14)&lt;&gt;INDEX(BR8:BR11,BG$7),0,BG9)</f>
        <v>0</v>
      </c>
      <c r="BH14">
        <f>IF(INDEX(BR8:BR11,$AX14)&lt;&gt;INDEX(BR8:BR11,BH$7),0,BH9)</f>
        <v>0</v>
      </c>
      <c r="BI14" s="55">
        <f>SUM(BE14:BH14)</f>
        <v>0</v>
      </c>
      <c r="BK14">
        <f>IF(INDEX(BR8:BR11,$AX14)&lt;&gt;INDEX(BR8:BR11,BK$7),0,BK9)</f>
        <v>0</v>
      </c>
      <c r="BL14">
        <f>IF(INDEX(BR8:BR11,$AX14)&lt;&gt;INDEX(BR8:BR11,BL$7),0,BL9)</f>
        <v>0</v>
      </c>
      <c r="BM14">
        <f>IF(INDEX(BR8:BR11,$AX14)&lt;&gt;INDEX(BR8:BR11,BM$7),0,BM9)</f>
        <v>0</v>
      </c>
      <c r="BN14">
        <f>IF(INDEX(BR8:BR11,$AX14)&lt;&gt;INDEX(BR8:BR11,BN$7),0,BN9)</f>
        <v>0</v>
      </c>
      <c r="BO14" s="55">
        <f>SUM(BK14:BN14)-BI14</f>
        <v>0</v>
      </c>
      <c r="BR14">
        <f>BC14*10000+BO14*100+BI14</f>
        <v>0</v>
      </c>
      <c r="BT14">
        <f>RANK(BR14,BR13:BR16,2)</f>
        <v>1</v>
      </c>
      <c r="BY14" s="56">
        <v>2</v>
      </c>
      <c r="BZ14" s="47">
        <f>IF(COUNT(CB13:CB16)=4,MATCH(BY14,CB13:CB16,0),MATCH(BY14,CB8:CB11,0))</f>
        <v>2</v>
      </c>
      <c r="CA14" s="47">
        <f>INDEX(BQ8:BQ11,BZ14)</f>
        <v>2</v>
      </c>
      <c r="CB14" s="57"/>
      <c r="CC14" t="s">
        <v>47</v>
      </c>
      <c r="CH14" s="60" t="s">
        <v>23</v>
      </c>
      <c r="CI14" s="60">
        <f>IF(AND(CM9,CM10),IF(CN9&gt;CN10,2,IF(CN9&lt;CN10,1,0)),IF(CM9,1,IF(CM10,2,0)))</f>
        <v>0</v>
      </c>
      <c r="CJ14" s="61">
        <f>IF(CI14=0,0,IF(INDEX(CN9:CN10,CI14)&gt;2,0,CI14))</f>
        <v>0</v>
      </c>
      <c r="CK14" s="58">
        <f>IF(CJ14=0,0,INDEX(AM12:AM13,CJ14))</f>
        <v>0</v>
      </c>
      <c r="CL14" s="58">
        <f>IF(CJ14=0,0,INDEX(AN12:AN13,CJ14))</f>
        <v>0</v>
      </c>
      <c r="CM14" s="59">
        <f>IF(CJ14=0,0,IF(COUNT(U14:V14)&lt;&gt;2,0,U14))</f>
        <v>0</v>
      </c>
      <c r="CN14" s="59">
        <f>IF(CJ14=0,0,IF(COUNT(U14:V14)&lt;&gt;2,0,V14))</f>
        <v>0</v>
      </c>
      <c r="CO14" s="60">
        <f>IF(CJ14=0,0,IF(CM14=CN14,0,IF(CM14&gt;CN14,1,0)))</f>
        <v>0</v>
      </c>
      <c r="CP14" s="60">
        <f>IF(CJ14=0,0,IF(CM14=CN14,0,IF(CM14&gt;CN14,0,1)))</f>
        <v>0</v>
      </c>
      <c r="CR14" t="s">
        <v>213</v>
      </c>
      <c r="CS14" t="s">
        <v>226</v>
      </c>
      <c r="CY14" s="3"/>
      <c r="CZ14" s="3"/>
      <c r="DA14" s="3"/>
      <c r="DB14" s="3"/>
    </row>
    <row r="15" spans="1:106" ht="15.75" customHeight="1">
      <c r="A15" s="3"/>
      <c r="B15" s="10"/>
      <c r="C15" s="11"/>
      <c r="D15" s="99" t="s">
        <v>48</v>
      </c>
      <c r="E15" s="99"/>
      <c r="F15" s="12"/>
      <c r="G15" s="62">
        <v>5</v>
      </c>
      <c r="H15" s="62"/>
      <c r="I15" s="62"/>
      <c r="J15" s="62"/>
      <c r="K15" s="62"/>
      <c r="L15" s="62"/>
      <c r="M15" s="12"/>
      <c r="N15" s="62">
        <v>6</v>
      </c>
      <c r="O15" s="62"/>
      <c r="P15" s="62"/>
      <c r="Q15" s="63"/>
      <c r="R15" s="62"/>
      <c r="S15" s="62"/>
      <c r="T15" s="62"/>
      <c r="U15" s="283"/>
      <c r="V15" s="284"/>
      <c r="W15" s="63"/>
      <c r="X15" s="12"/>
      <c r="Y15" s="12"/>
      <c r="Z15" s="63"/>
      <c r="AA15" s="63"/>
      <c r="AB15" s="63"/>
      <c r="AC15" s="62"/>
      <c r="AD15" s="63">
        <v>8</v>
      </c>
      <c r="AE15" s="63"/>
      <c r="AF15" s="64"/>
      <c r="AG15" s="64"/>
      <c r="AH15" s="64"/>
      <c r="AI15" s="65"/>
      <c r="AJ15" s="66"/>
      <c r="AK15" s="312"/>
      <c r="AL15" t="s">
        <v>49</v>
      </c>
      <c r="AM15">
        <f>MATCH(AM13,AX8:AX11,0)</f>
        <v>4</v>
      </c>
      <c r="AN15">
        <f>MATCH(AN13,AX8:AX11,0)</f>
        <v>2</v>
      </c>
      <c r="AX15" s="15">
        <f>AX10</f>
        <v>3</v>
      </c>
      <c r="AY15">
        <f>IF(INDEX(BR8:BR11,$AX15)&lt;&gt;INDEX(BR8:BR11,AY$7),0,AY10)</f>
        <v>0</v>
      </c>
      <c r="AZ15">
        <f>IF(INDEX(BR8:BR11,$AX15)&lt;&gt;INDEX(BR8:BR11,AZ$7),0,AZ10)</f>
        <v>0</v>
      </c>
      <c r="BA15">
        <f>IF(INDEX(BR8:BR11,$AX15)&lt;&gt;INDEX(BR8:BR11,BA$7),0,BA10)</f>
        <v>0</v>
      </c>
      <c r="BB15">
        <f>IF(INDEX(BR8:BR11,$AX15)&lt;&gt;INDEX(BR8:BR11,BB$7),0,BB10)</f>
        <v>0</v>
      </c>
      <c r="BC15" s="55">
        <f>SUM(AY15:BB15)</f>
        <v>0</v>
      </c>
      <c r="BE15">
        <f>IF(INDEX(BR8:BR11,$AX15)&lt;&gt;INDEX(BR8:BR11,BE$7),0,BE10)</f>
        <v>0</v>
      </c>
      <c r="BF15">
        <f>IF(INDEX(BR8:BR11,$AX15)&lt;&gt;INDEX(BR8:BR11,BF$7),0,BF10)</f>
        <v>0</v>
      </c>
      <c r="BG15">
        <f>IF(INDEX(BR8:BR11,$AX15)&lt;&gt;INDEX(BR8:BR11,BG$7),0,BG10)</f>
        <v>0</v>
      </c>
      <c r="BH15">
        <f>IF(INDEX(BR8:BR11,$AX15)&lt;&gt;INDEX(BR8:BR11,BH$7),0,BH10)</f>
        <v>0</v>
      </c>
      <c r="BI15" s="55">
        <f>SUM(BE15:BH15)</f>
        <v>0</v>
      </c>
      <c r="BK15">
        <f>IF(INDEX(BR8:BR11,$AX15)&lt;&gt;INDEX(BR8:BR11,BK$7),0,BK10)</f>
        <v>0</v>
      </c>
      <c r="BL15">
        <f>IF(INDEX(BR8:BR11,$AX15)&lt;&gt;INDEX(BR8:BR11,BL$7),0,BL10)</f>
        <v>0</v>
      </c>
      <c r="BM15">
        <f>IF(INDEX(BR8:BR11,$AX15)&lt;&gt;INDEX(BR8:BR11,BM$7),0,BM10)</f>
        <v>0</v>
      </c>
      <c r="BN15">
        <f>IF(INDEX(BR8:BR11,$AX15)&lt;&gt;INDEX(BR8:BR11,BN$7),0,BN10)</f>
        <v>0</v>
      </c>
      <c r="BO15" s="55">
        <f>SUM(BK15:BN15)-BI15</f>
        <v>0</v>
      </c>
      <c r="BR15">
        <f>BC15*10000+BO15*100+BI15</f>
        <v>0</v>
      </c>
      <c r="BT15">
        <f>RANK(BR15,BR13:BR16,2)</f>
        <v>1</v>
      </c>
      <c r="BY15" s="56">
        <v>3</v>
      </c>
      <c r="BZ15" s="47">
        <f>IF(COUNT(CB13:CB16)=4,MATCH(BY15,CB13:CB16,0),MATCH(BY15,CB8:CB11,0))</f>
        <v>3</v>
      </c>
      <c r="CA15" s="47">
        <f>INDEX(BQ8:BQ11,BZ15)</f>
        <v>3</v>
      </c>
      <c r="CB15" s="57"/>
      <c r="CC15" t="s">
        <v>50</v>
      </c>
      <c r="CK15" s="67">
        <f>IF(CK14=0,"",INDEX(teams,CK14))</f>
      </c>
      <c r="CL15" s="67">
        <f>IF(CL14=0,"",INDEX(teams,CL14))</f>
      </c>
      <c r="CR15" t="s">
        <v>214</v>
      </c>
      <c r="CS15" t="s">
        <v>227</v>
      </c>
      <c r="CY15" s="3"/>
      <c r="CZ15" s="3"/>
      <c r="DA15" s="3"/>
      <c r="DB15" s="3"/>
    </row>
    <row r="16" spans="1:106" ht="15.75" customHeight="1" hidden="1">
      <c r="A16" s="3"/>
      <c r="B16" s="10"/>
      <c r="C16" s="11"/>
      <c r="D16" s="99"/>
      <c r="E16" s="9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87"/>
      <c r="V16" s="287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68"/>
      <c r="AK16" s="312"/>
      <c r="AX16" s="15">
        <f>AX11</f>
        <v>4</v>
      </c>
      <c r="AY16">
        <f>IF(INDEX(BR8:BR11,$AX16)&lt;&gt;INDEX(BR8:BR11,AY$7),0,AY11)</f>
        <v>0</v>
      </c>
      <c r="AZ16">
        <f>IF(INDEX(BR8:BR11,$AX16)&lt;&gt;INDEX(BR8:BR11,AZ$7),0,AZ11)</f>
        <v>0</v>
      </c>
      <c r="BA16">
        <f>IF(INDEX(BR8:BR11,$AX16)&lt;&gt;INDEX(BR8:BR11,BA$7),0,BA11)</f>
        <v>0</v>
      </c>
      <c r="BB16">
        <f>IF(INDEX(BR8:BR11,$AX16)&lt;&gt;INDEX(BR8:BR11,BB$7),0,BB11)</f>
        <v>0</v>
      </c>
      <c r="BC16" s="55">
        <f>SUM(AY16:BB16)</f>
        <v>0</v>
      </c>
      <c r="BE16">
        <f>IF(INDEX(BR8:BR11,$AX16)&lt;&gt;INDEX(BR8:BR11,BE$7),0,BE11)</f>
        <v>0</v>
      </c>
      <c r="BF16">
        <f>IF(INDEX(BR8:BR11,$AX16)&lt;&gt;INDEX(BR8:BR11,BF$7),0,BF11)</f>
        <v>0</v>
      </c>
      <c r="BG16">
        <f>IF(INDEX(BR8:BR11,$AX16)&lt;&gt;INDEX(BR8:BR11,BG$7),0,BG11)</f>
        <v>0</v>
      </c>
      <c r="BH16">
        <f>IF(INDEX(BR8:BR11,$AX16)&lt;&gt;INDEX(BR8:BR11,BH$7),0,BH11)</f>
        <v>0</v>
      </c>
      <c r="BI16" s="55">
        <f>SUM(BE16:BH16)</f>
        <v>0</v>
      </c>
      <c r="BK16">
        <f>IF(INDEX(BR8:BR11,$AX16)&lt;&gt;INDEX(BR8:BR11,BK$7),0,BK11)</f>
        <v>0</v>
      </c>
      <c r="BL16">
        <f>IF(INDEX(BR8:BR11,$AX16)&lt;&gt;INDEX(BR8:BR11,BL$7),0,BL11)</f>
        <v>0</v>
      </c>
      <c r="BM16">
        <f>IF(INDEX(BR8:BR11,$AX16)&lt;&gt;INDEX(BR8:BR11,BM$7),0,BM11)</f>
        <v>0</v>
      </c>
      <c r="BN16">
        <f>IF(INDEX(BR8:BR11,$AX16)&lt;&gt;INDEX(BR8:BR11,BN$7),0,BN11)</f>
        <v>0</v>
      </c>
      <c r="BO16" s="55">
        <f>SUM(BK16:BN16)-BI16</f>
        <v>0</v>
      </c>
      <c r="BR16">
        <f>BC16*10000+BO16*100+BI16</f>
        <v>0</v>
      </c>
      <c r="BT16">
        <f>RANK(BR16,BR13:BR16,2)</f>
        <v>1</v>
      </c>
      <c r="BY16" s="56">
        <v>4</v>
      </c>
      <c r="BZ16" s="47">
        <f>IF(COUNT(CB13:CB16)=4,MATCH(BY16,CB13:CB16,0),MATCH(BY16,CB8:CB11,0))</f>
        <v>4</v>
      </c>
      <c r="CA16" s="47">
        <f>INDEX(BQ8:BQ11,BZ16)</f>
        <v>4</v>
      </c>
      <c r="CB16" s="57"/>
      <c r="CC16" t="s">
        <v>51</v>
      </c>
      <c r="CR16" t="s">
        <v>215</v>
      </c>
      <c r="CS16" t="s">
        <v>228</v>
      </c>
      <c r="CY16" s="3"/>
      <c r="CZ16" s="3"/>
      <c r="DA16" s="3"/>
      <c r="DB16" s="3"/>
    </row>
    <row r="17" spans="1:106" ht="1.5" customHeight="1">
      <c r="A17" s="3"/>
      <c r="B17" s="10"/>
      <c r="C17" s="11"/>
      <c r="D17" s="339"/>
      <c r="E17" s="339"/>
      <c r="F17" s="339"/>
      <c r="G17" s="339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357"/>
      <c r="V17" s="357"/>
      <c r="W17" s="11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312"/>
      <c r="CR17" t="s">
        <v>216</v>
      </c>
      <c r="CS17" t="s">
        <v>229</v>
      </c>
      <c r="CY17" s="3"/>
      <c r="CZ17" s="3"/>
      <c r="DA17" s="3"/>
      <c r="DB17" s="3"/>
    </row>
    <row r="18" spans="1:106" ht="1.5" customHeight="1" thickBot="1">
      <c r="A18" s="3"/>
      <c r="B18" s="10"/>
      <c r="C18" s="11"/>
      <c r="D18" s="339"/>
      <c r="E18" s="339"/>
      <c r="F18" s="339"/>
      <c r="G18" s="339"/>
      <c r="H18" s="12"/>
      <c r="I18" s="12"/>
      <c r="J18" s="12"/>
      <c r="K18" s="12"/>
      <c r="L18" s="12"/>
      <c r="M18" s="11"/>
      <c r="N18" s="11"/>
      <c r="O18" s="11"/>
      <c r="P18" s="11"/>
      <c r="Q18" s="11"/>
      <c r="R18" s="11"/>
      <c r="S18" s="11"/>
      <c r="T18" s="11"/>
      <c r="U18" s="357"/>
      <c r="V18" s="357"/>
      <c r="W18" s="11"/>
      <c r="X18" s="12"/>
      <c r="Y18" s="12"/>
      <c r="Z18" s="346" t="str">
        <f>IF(OR(COUNT(W19:X24)=0,NOT($AM$3)),"Aktuelle Tipptabelle",IF(COUNT(W19:X24)=12,"Endtabelle","Tabellenstand"))</f>
        <v>Aktuelle Tipptabelle</v>
      </c>
      <c r="AA18" s="346"/>
      <c r="AB18" s="346"/>
      <c r="AC18" s="346"/>
      <c r="AD18" s="346"/>
      <c r="AE18" s="11"/>
      <c r="AF18" s="325" t="s">
        <v>4</v>
      </c>
      <c r="AG18" s="325" t="s">
        <v>5</v>
      </c>
      <c r="AH18" s="325"/>
      <c r="AI18" s="325" t="s">
        <v>6</v>
      </c>
      <c r="AJ18" s="325" t="s">
        <v>7</v>
      </c>
      <c r="AK18" s="312"/>
      <c r="AL18" t="s">
        <v>8</v>
      </c>
      <c r="AP18" t="s">
        <v>9</v>
      </c>
      <c r="AR18" t="s">
        <v>10</v>
      </c>
      <c r="AS18" t="s">
        <v>11</v>
      </c>
      <c r="AT18" t="s">
        <v>12</v>
      </c>
      <c r="AU18" t="s">
        <v>13</v>
      </c>
      <c r="AV18" t="s">
        <v>14</v>
      </c>
      <c r="AX18" t="s">
        <v>15</v>
      </c>
      <c r="AY18" s="15">
        <f>AX19</f>
        <v>5</v>
      </c>
      <c r="AZ18" s="15">
        <f>AX20</f>
        <v>6</v>
      </c>
      <c r="BA18" s="15">
        <f>AX21</f>
        <v>7</v>
      </c>
      <c r="BB18" s="15">
        <f>AX22</f>
        <v>8</v>
      </c>
      <c r="BD18" t="s">
        <v>16</v>
      </c>
      <c r="BE18" s="15">
        <f>AY18</f>
        <v>5</v>
      </c>
      <c r="BF18" s="15">
        <f>AZ18</f>
        <v>6</v>
      </c>
      <c r="BG18" s="15">
        <f>BA18</f>
        <v>7</v>
      </c>
      <c r="BH18" s="15">
        <f>BB18</f>
        <v>8</v>
      </c>
      <c r="BJ18" t="s">
        <v>17</v>
      </c>
      <c r="BK18" s="15">
        <f>AY18</f>
        <v>5</v>
      </c>
      <c r="BL18" s="15">
        <f>AZ18</f>
        <v>6</v>
      </c>
      <c r="BM18" s="15">
        <f>BA18</f>
        <v>7</v>
      </c>
      <c r="BN18" s="15">
        <f>BB18</f>
        <v>8</v>
      </c>
      <c r="BR18" s="16" t="s">
        <v>7</v>
      </c>
      <c r="BS18" s="16" t="s">
        <v>5</v>
      </c>
      <c r="BT18" s="16" t="s">
        <v>18</v>
      </c>
      <c r="BU18" s="16" t="s">
        <v>19</v>
      </c>
      <c r="BV18" t="s">
        <v>20</v>
      </c>
      <c r="BW18" t="s">
        <v>21</v>
      </c>
      <c r="BX18" s="16" t="s">
        <v>22</v>
      </c>
      <c r="BY18" s="16" t="s">
        <v>23</v>
      </c>
      <c r="BZ18" t="s">
        <v>24</v>
      </c>
      <c r="CA18" t="s">
        <v>21</v>
      </c>
      <c r="CB18" t="s">
        <v>25</v>
      </c>
      <c r="CC18" s="17"/>
      <c r="CD18" s="18" t="s">
        <v>7</v>
      </c>
      <c r="CE18" s="18" t="s">
        <v>26</v>
      </c>
      <c r="CF18" s="18" t="s">
        <v>18</v>
      </c>
      <c r="CG18" s="18" t="s">
        <v>19</v>
      </c>
      <c r="CH18" s="18" t="s">
        <v>27</v>
      </c>
      <c r="CI18" s="19" t="s">
        <v>28</v>
      </c>
      <c r="CY18" s="3"/>
      <c r="CZ18" s="3"/>
      <c r="DA18" s="3"/>
      <c r="DB18" s="3"/>
    </row>
    <row r="19" spans="1:106" ht="12" customHeight="1">
      <c r="A19" s="3"/>
      <c r="B19" s="10"/>
      <c r="C19" s="11"/>
      <c r="D19" s="375" t="s">
        <v>71</v>
      </c>
      <c r="E19" s="376"/>
      <c r="F19" s="376"/>
      <c r="G19" s="376"/>
      <c r="H19" s="376" t="s">
        <v>72</v>
      </c>
      <c r="I19" s="376"/>
      <c r="J19" s="376"/>
      <c r="K19" s="381" t="s">
        <v>59</v>
      </c>
      <c r="L19" s="382"/>
      <c r="M19" s="382"/>
      <c r="N19" s="382"/>
      <c r="O19" s="382"/>
      <c r="P19" s="383" t="s">
        <v>206</v>
      </c>
      <c r="Q19" s="383"/>
      <c r="R19" s="383"/>
      <c r="S19" s="383"/>
      <c r="T19" s="383"/>
      <c r="U19" s="155"/>
      <c r="V19" s="156"/>
      <c r="W19" s="318"/>
      <c r="X19" s="319"/>
      <c r="Y19" s="12"/>
      <c r="Z19" s="347"/>
      <c r="AA19" s="347"/>
      <c r="AB19" s="347"/>
      <c r="AC19" s="347"/>
      <c r="AD19" s="347"/>
      <c r="AE19" s="12"/>
      <c r="AF19" s="360"/>
      <c r="AG19" s="360"/>
      <c r="AH19" s="360"/>
      <c r="AI19" s="325"/>
      <c r="AJ19" s="360"/>
      <c r="AK19" s="312"/>
      <c r="AL19">
        <v>1</v>
      </c>
      <c r="AM19">
        <v>5</v>
      </c>
      <c r="AN19">
        <v>6</v>
      </c>
      <c r="AP19" t="str">
        <f aca="true" t="shared" si="10" ref="AP19:AP24">AM19&amp;"#"&amp;AN19</f>
        <v>5#6</v>
      </c>
      <c r="AQ19" t="str">
        <f aca="true" t="shared" si="11" ref="AQ19:AQ24">AN19&amp;"#"&amp;AM19</f>
        <v>6#5</v>
      </c>
      <c r="AR19">
        <f aca="true" t="shared" si="12" ref="AR19:AR24">IF(COUNT(CU19:CV19)&lt;&gt;2,0,CU19)</f>
        <v>0</v>
      </c>
      <c r="AS19">
        <f aca="true" t="shared" si="13" ref="AS19:AS24">IF(COUNT(CU19:CV19)&lt;&gt;2,0,CV19)</f>
        <v>0</v>
      </c>
      <c r="AT19">
        <f aca="true" t="shared" si="14" ref="AT19:AT24">IF(COUNT(CU19:CV19)&lt;&gt;2,0,IF(AR19&gt;AS19,3,IF(AR19&lt;AS19,0,1)))</f>
        <v>0</v>
      </c>
      <c r="AU19">
        <f aca="true" t="shared" si="15" ref="AU19:AU24">IF(COUNT(CU19:CV19)&lt;&gt;2,0,IF(AR19&lt;AS19,3,IF(AR19&gt;AS19,0,1)))</f>
        <v>0</v>
      </c>
      <c r="AV19">
        <f aca="true" t="shared" si="16" ref="AV19:AV25">IF(SUM(AT19:AU19)&gt;0,AM19,0)</f>
        <v>0</v>
      </c>
      <c r="AW19">
        <f aca="true" t="shared" si="17" ref="AW19:AW25">IF(SUM(AT19:AU19)&gt;0,AN19,0)</f>
        <v>0</v>
      </c>
      <c r="AX19" s="15">
        <f>SMALL(AM19:AN20,1)</f>
        <v>5</v>
      </c>
      <c r="AY19">
        <f>SUMIF(AP19:AQ24,"="&amp;AX19&amp;"#"&amp;AY18,AT19:AU24)</f>
        <v>0</v>
      </c>
      <c r="AZ19">
        <f>SUMIF(AP19:AQ24,"="&amp;AX19&amp;"#"&amp;AZ18,AT19:AU24)</f>
        <v>0</v>
      </c>
      <c r="BA19">
        <f>SUMIF(AP19:AQ24,"="&amp;AX19&amp;"#"&amp;BA18,AT19:AU24)</f>
        <v>0</v>
      </c>
      <c r="BB19">
        <f>SUMIF(AP19:AQ24,"="&amp;AX19&amp;"#"&amp;BB18,AT19:AU24)</f>
        <v>0</v>
      </c>
      <c r="BD19" s="15">
        <f>AX19</f>
        <v>5</v>
      </c>
      <c r="BE19">
        <f>SUMIF(AP19:AQ24,"="&amp;BD19&amp;"#"&amp;BE18,AR19:AS24)</f>
        <v>0</v>
      </c>
      <c r="BF19">
        <f>SUMIF(AP19:AQ24,"="&amp;BD19&amp;"#"&amp;BF18,AR19:AS24)</f>
        <v>0</v>
      </c>
      <c r="BG19">
        <f>SUMIF(AP19:AQ24,"="&amp;BD19&amp;"#"&amp;BG18,AR19:AS24)</f>
        <v>0</v>
      </c>
      <c r="BH19">
        <f>SUMIF(AP19:AQ24,"="&amp;BD19&amp;"#"&amp;BH18,AR19:AS24)</f>
        <v>0</v>
      </c>
      <c r="BJ19" s="15">
        <f>AX19</f>
        <v>5</v>
      </c>
      <c r="BK19">
        <f>SUMIF(AP19:AP24,"="&amp;BD19&amp;"#"&amp;BE18,AS19:AS24)+SUMIF(AQ19:AQ24,"="&amp;BD19&amp;"#"&amp;BE18,AR19:AR24)</f>
        <v>0</v>
      </c>
      <c r="BL19">
        <f>SUMIF(AP19:AP24,"="&amp;BD19&amp;"#"&amp;BF18,AS19:AS24)+SUMIF(AQ19:AQ24,"="&amp;BD19&amp;"#"&amp;BF18,AR19:AR24)</f>
        <v>0</v>
      </c>
      <c r="BM19">
        <f>SUMIF(AP19:AP24,"="&amp;BD19&amp;"#"&amp;BG18,AS19:AS24)+SUMIF(AQ19:AQ24,"="&amp;BD19&amp;"#"&amp;BG18,AR19:AR24)</f>
        <v>0</v>
      </c>
      <c r="BN19">
        <f>SUMIF(AP19:AP24,"="&amp;BD19&amp;"#"&amp;BH18,AS19:AS24)+SUMIF(AQ19:AQ24,"="&amp;BD19&amp;"#"&amp;BH18,AR19:AR24)</f>
        <v>0</v>
      </c>
      <c r="BQ19" s="15">
        <f>AX19</f>
        <v>5</v>
      </c>
      <c r="BR19" s="16">
        <f>SUMIF(AM19:AN24,"="&amp;BQ19,AT19:AU24)</f>
        <v>0</v>
      </c>
      <c r="BS19" s="16">
        <f>SUMIF(AM19:AN24,"="&amp;BQ19,AR19:AS24)</f>
        <v>0</v>
      </c>
      <c r="BT19" s="16">
        <f>SUMIF(AM19:AM24,"="&amp;BQ19,AS19:AS24)+SUMIF(AN19:AN24,"="&amp;BQ19,AR19:AR24)</f>
        <v>0</v>
      </c>
      <c r="BU19" s="16">
        <f>BS19-BT19</f>
        <v>0</v>
      </c>
      <c r="BV19">
        <f>BR19*10000+BU19*100+BS19</f>
        <v>0</v>
      </c>
      <c r="BW19">
        <f>RANK(BV19,BV19:BV22)</f>
        <v>1</v>
      </c>
      <c r="BX19">
        <f>BT24</f>
        <v>1</v>
      </c>
      <c r="BY19">
        <f>SUMIF(CK25:CL25,"="&amp;BQ19,CO25:CP25)</f>
        <v>0</v>
      </c>
      <c r="BZ19" s="16">
        <f>SUMPRODUCT(BR19:BY19,faktoren)</f>
        <v>100</v>
      </c>
      <c r="CA19">
        <f>RANK(BZ19,BZ19:BZ22)</f>
        <v>1</v>
      </c>
      <c r="CB19">
        <f>CA19+COUNTIF(CA18:CA18,"="&amp;CA19)</f>
        <v>1</v>
      </c>
      <c r="CC19" s="21">
        <f>AX19</f>
        <v>5</v>
      </c>
      <c r="CD19" s="16">
        <f>SUMIF(AM19:AN22,"="&amp;CC19,AT19:AU22)</f>
        <v>0</v>
      </c>
      <c r="CE19" s="16">
        <f>SUMIF(AM19:AN22,"="&amp;CC19,AR19:AS22)</f>
        <v>0</v>
      </c>
      <c r="CF19" s="16">
        <f>SUMIF(AM19:AM22,"="&amp;CC19,AS19:AS22)+SUMIF(AN19:AN22,"="&amp;CC19,AR19:AR22)</f>
        <v>0</v>
      </c>
      <c r="CG19" s="16">
        <f>CE19-CF19</f>
        <v>0</v>
      </c>
      <c r="CH19" s="16">
        <f>CD19*10000+CG19*100+CE19</f>
        <v>0</v>
      </c>
      <c r="CI19" s="19" t="s">
        <v>29</v>
      </c>
      <c r="CJ19" s="19" t="s">
        <v>6</v>
      </c>
      <c r="CK19" s="22" t="s">
        <v>30</v>
      </c>
      <c r="CL19" s="22" t="s">
        <v>31</v>
      </c>
      <c r="CM19" s="22" t="s">
        <v>23</v>
      </c>
      <c r="CN19" s="22" t="s">
        <v>21</v>
      </c>
      <c r="CO19" s="19"/>
      <c r="CP19" s="19"/>
      <c r="CU19" s="155">
        <f aca="true" t="shared" si="18" ref="CU19:CU24">IF(OR(NOT($AM$3),COUNT(W19:X19)&lt;&gt;2),IF(COUNT(U19:V19)=2,U19,""),W19)</f>
      </c>
      <c r="CV19" s="156">
        <f aca="true" t="shared" si="19" ref="CV19:CV24">IF(OR(NOT($AM$3),COUNT(W19:X19)&lt;&gt;2),IF(COUNT(U19:V19)=2,V19,""),X19)</f>
      </c>
      <c r="CY19" s="3"/>
      <c r="CZ19" s="3"/>
      <c r="DA19" s="3"/>
      <c r="DB19" s="3"/>
    </row>
    <row r="20" spans="1:106" ht="12" customHeight="1">
      <c r="A20" s="3"/>
      <c r="B20" s="10"/>
      <c r="C20" s="11"/>
      <c r="D20" s="341" t="s">
        <v>73</v>
      </c>
      <c r="E20" s="342"/>
      <c r="F20" s="342"/>
      <c r="G20" s="342"/>
      <c r="H20" s="342" t="s">
        <v>74</v>
      </c>
      <c r="I20" s="342"/>
      <c r="J20" s="342"/>
      <c r="K20" s="353" t="s">
        <v>207</v>
      </c>
      <c r="L20" s="354"/>
      <c r="M20" s="354"/>
      <c r="N20" s="354"/>
      <c r="O20" s="354"/>
      <c r="P20" s="335" t="s">
        <v>208</v>
      </c>
      <c r="Q20" s="335"/>
      <c r="R20" s="335"/>
      <c r="S20" s="335"/>
      <c r="T20" s="335"/>
      <c r="U20" s="157"/>
      <c r="V20" s="158"/>
      <c r="W20" s="320"/>
      <c r="X20" s="321"/>
      <c r="Y20" s="12"/>
      <c r="Z20" s="23">
        <v>1</v>
      </c>
      <c r="AA20" s="324" t="str">
        <f>INDEX(teams_lang,CA24)</f>
        <v>Österreich</v>
      </c>
      <c r="AB20" s="324"/>
      <c r="AC20" s="324"/>
      <c r="AD20" s="324"/>
      <c r="AE20" s="324"/>
      <c r="AF20" s="24">
        <f>COUNTIF(AV19:AW24,"="&amp;CA24)</f>
        <v>0</v>
      </c>
      <c r="AG20" s="25">
        <f>INDEX(BS19:BS22,BZ24)</f>
        <v>0</v>
      </c>
      <c r="AH20" s="26">
        <f>INDEX(BT19:BT22,BZ24)</f>
        <v>0</v>
      </c>
      <c r="AI20" s="27">
        <f>INDEX(BU19:BU22,BZ24)</f>
        <v>0</v>
      </c>
      <c r="AJ20" s="28">
        <f>INDEX(BR19:BR22,BZ24)</f>
        <v>0</v>
      </c>
      <c r="AK20" s="312"/>
      <c r="AL20">
        <v>2</v>
      </c>
      <c r="AM20">
        <v>7</v>
      </c>
      <c r="AN20">
        <v>8</v>
      </c>
      <c r="AP20" t="str">
        <f t="shared" si="10"/>
        <v>7#8</v>
      </c>
      <c r="AQ20" t="str">
        <f t="shared" si="11"/>
        <v>8#7</v>
      </c>
      <c r="AR20">
        <f t="shared" si="12"/>
        <v>0</v>
      </c>
      <c r="AS20">
        <f t="shared" si="13"/>
        <v>0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 s="15">
        <f>SMALL(AM19:AN20,2)</f>
        <v>6</v>
      </c>
      <c r="AY20">
        <f>SUMIF(AP19:AQ24,"="&amp;AX20&amp;"#"&amp;AY18,AT19:AU24)</f>
        <v>0</v>
      </c>
      <c r="AZ20">
        <f>SUMIF(AP19:AQ24,"="&amp;AX20&amp;"#"&amp;AZ18,AT19:AU24)</f>
        <v>0</v>
      </c>
      <c r="BA20">
        <f>SUMIF(AP19:AQ24,"="&amp;AX20&amp;"#"&amp;BA18,AT19:AU24)</f>
        <v>0</v>
      </c>
      <c r="BB20">
        <f>SUMIF(AP19:AQ24,"="&amp;AX20&amp;"#"&amp;BB18,AT19:AU24)</f>
        <v>0</v>
      </c>
      <c r="BD20" s="15">
        <f>AX20</f>
        <v>6</v>
      </c>
      <c r="BE20">
        <f>SUMIF(AP19:AQ24,"="&amp;BD20&amp;"#"&amp;BE18,AR19:AS24)</f>
        <v>0</v>
      </c>
      <c r="BF20">
        <f>SUMIF(AP19:AQ24,"="&amp;BD20&amp;"#"&amp;BF18,AR19:AS24)</f>
        <v>0</v>
      </c>
      <c r="BG20">
        <f>SUMIF(AP19:AQ24,"="&amp;BD20&amp;"#"&amp;BG18,AR19:AS24)</f>
        <v>0</v>
      </c>
      <c r="BH20">
        <f>SUMIF(AP19:AQ24,"="&amp;BD20&amp;"#"&amp;BH18,AR19:AS24)</f>
        <v>0</v>
      </c>
      <c r="BJ20" s="15">
        <f>AX20</f>
        <v>6</v>
      </c>
      <c r="BK20">
        <f>SUMIF(AP19:AP24,"="&amp;BD20&amp;"#"&amp;BE18,AS19:AS24)+SUMIF(AQ19:AQ24,"="&amp;BD20&amp;"#"&amp;BE18,AR19:AR24)</f>
        <v>0</v>
      </c>
      <c r="BL20">
        <f>SUMIF(AP19:AP24,"="&amp;BD20&amp;"#"&amp;BF18,AS19:AS24)+SUMIF(AQ19:AQ24,"="&amp;BD20&amp;"#"&amp;BF18,AR19:AR24)</f>
        <v>0</v>
      </c>
      <c r="BM20">
        <f>SUMIF(AP19:AP24,"="&amp;BD20&amp;"#"&amp;BG18,AS19:AS24)+SUMIF(AQ19:AQ24,"="&amp;BD20&amp;"#"&amp;BG18,AR19:AR24)</f>
        <v>0</v>
      </c>
      <c r="BN20">
        <f>SUMIF(AP19:AP24,"="&amp;BD20&amp;"#"&amp;BH18,AS19:AS24)+SUMIF(AQ19:AQ24,"="&amp;BD20&amp;"#"&amp;BH18,AR19:AR24)</f>
        <v>0</v>
      </c>
      <c r="BQ20" s="15">
        <f>AX20</f>
        <v>6</v>
      </c>
      <c r="BR20" s="16">
        <f>SUMIF(AM19:AN24,"="&amp;BQ20,AT19:AU24)</f>
        <v>0</v>
      </c>
      <c r="BS20" s="16">
        <f>SUMIF(AM19:AN24,"="&amp;BQ20,AR19:AS24)</f>
        <v>0</v>
      </c>
      <c r="BT20" s="16">
        <f>SUMIF(AM19:AM24,"="&amp;BQ20,AS19:AS24)+SUMIF(AN19:AN24,"="&amp;BQ20,AR19:AR24)</f>
        <v>0</v>
      </c>
      <c r="BU20" s="16">
        <f>BS20-BT20</f>
        <v>0</v>
      </c>
      <c r="BV20">
        <f>BR20*10000+BU20*100+BS20</f>
        <v>0</v>
      </c>
      <c r="BW20">
        <f>RANK(BV20,BV19:BV22)</f>
        <v>1</v>
      </c>
      <c r="BX20">
        <f>BT25</f>
        <v>1</v>
      </c>
      <c r="BY20">
        <f>SUMIF(CK25:CL25,"="&amp;BQ20,CO25:CP25)</f>
        <v>0</v>
      </c>
      <c r="BZ20" s="16">
        <f>SUMPRODUCT(BR20:BY20,faktoren)</f>
        <v>100</v>
      </c>
      <c r="CA20">
        <f>RANK(BZ20,BZ19:BZ22)</f>
        <v>1</v>
      </c>
      <c r="CB20">
        <f>CA20+COUNTIF(CA18:CA19,"="&amp;CA20)</f>
        <v>2</v>
      </c>
      <c r="CC20" s="21">
        <f>AX20</f>
        <v>6</v>
      </c>
      <c r="CD20" s="16">
        <f>SUMIF(AM19:AN22,"="&amp;CC20,AT19:AU22)</f>
        <v>0</v>
      </c>
      <c r="CE20" s="16">
        <f>SUMIF(AM19:AN22,"="&amp;CC20,AR19:AS22)</f>
        <v>0</v>
      </c>
      <c r="CF20" s="16">
        <f>SUMIF(AM19:AM22,"="&amp;CC20,AS19:AS22)+SUMIF(AN19:AN22,"="&amp;CC20,AR19:AR22)</f>
        <v>0</v>
      </c>
      <c r="CG20" s="16">
        <f>CE20-CF20</f>
        <v>0</v>
      </c>
      <c r="CH20" s="16">
        <f>CD20*10000+CG20*100+CE20</f>
        <v>0</v>
      </c>
      <c r="CI20" s="19">
        <v>1</v>
      </c>
      <c r="CJ20" s="22">
        <f>INDEX(CH19:CH22,AM25)-INDEX(CH19:CH22,AN25)</f>
        <v>0</v>
      </c>
      <c r="CK20" s="22" t="b">
        <f>CJ20=0</f>
        <v>1</v>
      </c>
      <c r="CL20" s="22" t="b">
        <f>AND(AT23=1,AU23=1)</f>
        <v>0</v>
      </c>
      <c r="CM20" s="22" t="b">
        <f>AND(CK20,CL20,COUNTIF(BV19:BV22,"="&amp;INDEX(BV19:BV22,AM25))=2)</f>
        <v>0</v>
      </c>
      <c r="CN20" s="19">
        <f>INDEX(BW19:BW22,AM25)</f>
        <v>1</v>
      </c>
      <c r="CO20" s="19"/>
      <c r="CP20" s="19"/>
      <c r="CU20" s="157">
        <f t="shared" si="18"/>
      </c>
      <c r="CV20" s="158">
        <f t="shared" si="19"/>
      </c>
      <c r="CY20" s="3"/>
      <c r="CZ20" s="3"/>
      <c r="DA20" s="3"/>
      <c r="DB20" s="3"/>
    </row>
    <row r="21" spans="1:106" ht="12" customHeight="1">
      <c r="A21" s="3"/>
      <c r="B21" s="10"/>
      <c r="C21" s="11"/>
      <c r="D21" s="341" t="s">
        <v>75</v>
      </c>
      <c r="E21" s="342"/>
      <c r="F21" s="342"/>
      <c r="G21" s="342"/>
      <c r="H21" s="342" t="s">
        <v>74</v>
      </c>
      <c r="I21" s="342"/>
      <c r="J21" s="342"/>
      <c r="K21" s="353" t="s">
        <v>206</v>
      </c>
      <c r="L21" s="354"/>
      <c r="M21" s="354"/>
      <c r="N21" s="354"/>
      <c r="O21" s="354"/>
      <c r="P21" s="335" t="s">
        <v>207</v>
      </c>
      <c r="Q21" s="335"/>
      <c r="R21" s="335"/>
      <c r="S21" s="335"/>
      <c r="T21" s="335"/>
      <c r="U21" s="157"/>
      <c r="V21" s="158"/>
      <c r="W21" s="320"/>
      <c r="X21" s="321"/>
      <c r="Y21" s="12"/>
      <c r="Z21" s="29">
        <v>2</v>
      </c>
      <c r="AA21" s="340" t="str">
        <f>INDEX(teams_lang,CA25)</f>
        <v>Kroatien</v>
      </c>
      <c r="AB21" s="340"/>
      <c r="AC21" s="340"/>
      <c r="AD21" s="340"/>
      <c r="AE21" s="340"/>
      <c r="AF21" s="30">
        <f>COUNTIF(AV19:AW24,"="&amp;CA25)</f>
        <v>0</v>
      </c>
      <c r="AG21" s="31">
        <f>INDEX(BS19:BS22,BZ25)</f>
        <v>0</v>
      </c>
      <c r="AH21" s="32">
        <f>INDEX(BT19:BT22,BZ25)</f>
        <v>0</v>
      </c>
      <c r="AI21" s="33">
        <f>INDEX(BU19:BU22,BZ25)</f>
        <v>0</v>
      </c>
      <c r="AJ21" s="34">
        <f>INDEX(BR19:BR22,BZ25)</f>
        <v>0</v>
      </c>
      <c r="AK21" s="312"/>
      <c r="AL21">
        <v>3</v>
      </c>
      <c r="AM21">
        <v>6</v>
      </c>
      <c r="AN21">
        <v>7</v>
      </c>
      <c r="AP21" t="str">
        <f t="shared" si="10"/>
        <v>6#7</v>
      </c>
      <c r="AQ21" t="str">
        <f t="shared" si="11"/>
        <v>7#6</v>
      </c>
      <c r="AR21">
        <f t="shared" si="12"/>
        <v>0</v>
      </c>
      <c r="AS21">
        <f t="shared" si="13"/>
        <v>0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 s="15">
        <f>SMALL(AM19:AN20,3)</f>
        <v>7</v>
      </c>
      <c r="AY21">
        <f>SUMIF(AP19:AQ24,"="&amp;AX21&amp;"#"&amp;AY18,AT19:AU24)</f>
        <v>0</v>
      </c>
      <c r="AZ21">
        <f>SUMIF(AP19:AQ24,"="&amp;AX21&amp;"#"&amp;AZ18,AT19:AU24)</f>
        <v>0</v>
      </c>
      <c r="BA21">
        <f>SUMIF(AP19:AQ24,"="&amp;AX21&amp;"#"&amp;BA18,AT19:AU24)</f>
        <v>0</v>
      </c>
      <c r="BB21">
        <f>SUMIF(AP19:AQ24,"="&amp;AX21&amp;"#"&amp;BB18,AT19:AU24)</f>
        <v>0</v>
      </c>
      <c r="BD21" s="15">
        <f>AX21</f>
        <v>7</v>
      </c>
      <c r="BE21">
        <f>SUMIF(AP19:AQ24,"="&amp;BD21&amp;"#"&amp;BE18,AR19:AS24)</f>
        <v>0</v>
      </c>
      <c r="BF21">
        <f>SUMIF(AP19:AQ24,"="&amp;BD21&amp;"#"&amp;BF18,AR19:AS24)</f>
        <v>0</v>
      </c>
      <c r="BG21">
        <f>SUMIF(AP19:AQ24,"="&amp;BD21&amp;"#"&amp;BG18,AR19:AS24)</f>
        <v>0</v>
      </c>
      <c r="BH21">
        <f>SUMIF(AP19:AQ24,"="&amp;BD21&amp;"#"&amp;BH18,AR19:AS24)</f>
        <v>0</v>
      </c>
      <c r="BJ21" s="15">
        <f>AX21</f>
        <v>7</v>
      </c>
      <c r="BK21">
        <f>SUMIF(AP19:AP24,"="&amp;BD21&amp;"#"&amp;BE18,AS19:AS24)+SUMIF(AQ19:AQ24,"="&amp;BD21&amp;"#"&amp;BE18,AR19:AR24)</f>
        <v>0</v>
      </c>
      <c r="BL21">
        <f>SUMIF(AP19:AP24,"="&amp;BD21&amp;"#"&amp;BF18,AS19:AS24)+SUMIF(AQ19:AQ24,"="&amp;BD21&amp;"#"&amp;BF18,AR19:AR24)</f>
        <v>0</v>
      </c>
      <c r="BM21">
        <f>SUMIF(AP19:AP24,"="&amp;BD21&amp;"#"&amp;BG18,AS19:AS24)+SUMIF(AQ19:AQ24,"="&amp;BD21&amp;"#"&amp;BG18,AR19:AR24)</f>
        <v>0</v>
      </c>
      <c r="BN21">
        <f>SUMIF(AP19:AP24,"="&amp;BD21&amp;"#"&amp;BH18,AS19:AS24)+SUMIF(AQ19:AQ24,"="&amp;BD21&amp;"#"&amp;BH18,AR19:AR24)</f>
        <v>0</v>
      </c>
      <c r="BQ21" s="15">
        <f>AX21</f>
        <v>7</v>
      </c>
      <c r="BR21" s="16">
        <f>SUMIF(AM19:AN24,"="&amp;BQ21,AT19:AU24)</f>
        <v>0</v>
      </c>
      <c r="BS21" s="16">
        <f>SUMIF(AM19:AN24,"="&amp;BQ21,AR19:AS24)</f>
        <v>0</v>
      </c>
      <c r="BT21" s="16">
        <f>SUMIF(AM19:AM24,"="&amp;BQ21,AS19:AS24)+SUMIF(AN19:AN24,"="&amp;BQ21,AR19:AR24)</f>
        <v>0</v>
      </c>
      <c r="BU21" s="16">
        <f>BS21-BT21</f>
        <v>0</v>
      </c>
      <c r="BV21">
        <f>BR21*10000+BU21*100+BS21</f>
        <v>0</v>
      </c>
      <c r="BW21">
        <f>RANK(BV21,BV19:BV22)</f>
        <v>1</v>
      </c>
      <c r="BX21">
        <f>BT26</f>
        <v>1</v>
      </c>
      <c r="BY21">
        <f>SUMIF(CK25:CL25,"="&amp;BQ21,CO25:CP25)</f>
        <v>0</v>
      </c>
      <c r="BZ21" s="16">
        <f>SUMPRODUCT(BR21:BY21,faktoren)</f>
        <v>100</v>
      </c>
      <c r="CA21">
        <f>RANK(BZ21,BZ19:BZ22)</f>
        <v>1</v>
      </c>
      <c r="CB21">
        <f>CA21+COUNTIF(CA18:CA20,"="&amp;CA21)</f>
        <v>3</v>
      </c>
      <c r="CC21" s="21">
        <f>AX21</f>
        <v>7</v>
      </c>
      <c r="CD21" s="16">
        <f>SUMIF(AM19:AN22,"="&amp;CC21,AT19:AU22)</f>
        <v>0</v>
      </c>
      <c r="CE21" s="16">
        <f>SUMIF(AM19:AN22,"="&amp;CC21,AR19:AS22)</f>
        <v>0</v>
      </c>
      <c r="CF21" s="16">
        <f>SUMIF(AM19:AM22,"="&amp;CC21,AS19:AS22)+SUMIF(AN19:AN22,"="&amp;CC21,AR19:AR22)</f>
        <v>0</v>
      </c>
      <c r="CG21" s="16">
        <f>CE21-CF21</f>
        <v>0</v>
      </c>
      <c r="CH21" s="16">
        <f>CD21*10000+CG21*100+CE21</f>
        <v>0</v>
      </c>
      <c r="CI21" s="19">
        <v>2</v>
      </c>
      <c r="CJ21" s="22">
        <f>INDEX(CH19:CH22,AM26)-INDEX(CH19:CH22,AN26)</f>
        <v>0</v>
      </c>
      <c r="CK21" s="22" t="b">
        <f>CJ21=0</f>
        <v>1</v>
      </c>
      <c r="CL21" s="22" t="b">
        <f>AND(AT24=1,AU24=1)</f>
        <v>0</v>
      </c>
      <c r="CM21" s="22" t="b">
        <f>AND(CK21,CL21,COUNTIF(BV19:BV22,"="&amp;INDEX(BV19:BV22,AM26))=2)</f>
        <v>0</v>
      </c>
      <c r="CN21" s="19">
        <f>INDEX(BW19:BW22,AM26)</f>
        <v>1</v>
      </c>
      <c r="CO21" s="19"/>
      <c r="CP21" s="19"/>
      <c r="CU21" s="157">
        <f t="shared" si="18"/>
      </c>
      <c r="CV21" s="158">
        <f t="shared" si="19"/>
      </c>
      <c r="CY21" s="3"/>
      <c r="CZ21" s="3"/>
      <c r="DA21" s="3"/>
      <c r="DB21" s="3"/>
    </row>
    <row r="22" spans="1:106" ht="12" customHeight="1">
      <c r="A22" s="3"/>
      <c r="B22" s="10"/>
      <c r="C22" s="11"/>
      <c r="D22" s="341" t="s">
        <v>76</v>
      </c>
      <c r="E22" s="342"/>
      <c r="F22" s="342"/>
      <c r="G22" s="342"/>
      <c r="H22" s="342" t="s">
        <v>72</v>
      </c>
      <c r="I22" s="342"/>
      <c r="J22" s="342"/>
      <c r="K22" s="353" t="s">
        <v>59</v>
      </c>
      <c r="L22" s="354"/>
      <c r="M22" s="354"/>
      <c r="N22" s="354"/>
      <c r="O22" s="354"/>
      <c r="P22" s="335" t="s">
        <v>208</v>
      </c>
      <c r="Q22" s="335"/>
      <c r="R22" s="335"/>
      <c r="S22" s="335"/>
      <c r="T22" s="335"/>
      <c r="U22" s="157"/>
      <c r="V22" s="158"/>
      <c r="W22" s="320"/>
      <c r="X22" s="321"/>
      <c r="Y22" s="12"/>
      <c r="Z22" s="35"/>
      <c r="AA22" s="35"/>
      <c r="AB22" s="35"/>
      <c r="AC22" s="36"/>
      <c r="AD22" s="37"/>
      <c r="AE22" s="37"/>
      <c r="AF22" s="35"/>
      <c r="AG22" s="38"/>
      <c r="AH22" s="39"/>
      <c r="AI22" s="35"/>
      <c r="AJ22" s="35"/>
      <c r="AK22" s="312"/>
      <c r="AL22">
        <v>4</v>
      </c>
      <c r="AM22">
        <v>5</v>
      </c>
      <c r="AN22">
        <v>8</v>
      </c>
      <c r="AP22" t="str">
        <f t="shared" si="10"/>
        <v>5#8</v>
      </c>
      <c r="AQ22" t="str">
        <f t="shared" si="11"/>
        <v>8#5</v>
      </c>
      <c r="AR22">
        <f t="shared" si="12"/>
        <v>0</v>
      </c>
      <c r="AS22">
        <f t="shared" si="13"/>
        <v>0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 s="15">
        <f>SMALL(AM19:AN20,4)</f>
        <v>8</v>
      </c>
      <c r="AY22">
        <f>SUMIF(AP19:AQ24,"="&amp;AX22&amp;"#"&amp;AY18,AT19:AU24)</f>
        <v>0</v>
      </c>
      <c r="AZ22">
        <f>SUMIF(AP19:AQ24,"="&amp;AX22&amp;"#"&amp;AZ18,AT19:AU24)</f>
        <v>0</v>
      </c>
      <c r="BA22">
        <f>SUMIF(AP19:AQ24,"="&amp;AX22&amp;"#"&amp;BA18,AT19:AU24)</f>
        <v>0</v>
      </c>
      <c r="BB22">
        <f>SUMIF(AP19:AQ24,"="&amp;AX22&amp;"#"&amp;BB18,AT19:AU24)</f>
        <v>0</v>
      </c>
      <c r="BD22" s="15">
        <f>AX22</f>
        <v>8</v>
      </c>
      <c r="BE22">
        <f>SUMIF(AP19:AQ24,"="&amp;BD22&amp;"#"&amp;BE18,AR19:AS24)</f>
        <v>0</v>
      </c>
      <c r="BF22">
        <f>SUMIF(AP19:AQ24,"="&amp;BD22&amp;"#"&amp;BF18,AR19:AS24)</f>
        <v>0</v>
      </c>
      <c r="BG22">
        <f>SUMIF(AP19:AQ24,"="&amp;BD22&amp;"#"&amp;BG18,AR19:AS24)</f>
        <v>0</v>
      </c>
      <c r="BH22">
        <f>SUMIF(AP19:AQ24,"="&amp;BD22&amp;"#"&amp;BH18,AR19:AS24)</f>
        <v>0</v>
      </c>
      <c r="BJ22" s="15">
        <f>AX22</f>
        <v>8</v>
      </c>
      <c r="BK22">
        <f>SUMIF(AP19:AP24,"="&amp;BD22&amp;"#"&amp;BE18,AS19:AS24)+SUMIF(AQ19:AQ24,"="&amp;BD22&amp;"#"&amp;BE18,AR19:AR24)</f>
        <v>0</v>
      </c>
      <c r="BL22">
        <f>SUMIF(AP19:AP24,"="&amp;BD22&amp;"#"&amp;BF18,AS19:AS24)+SUMIF(AQ19:AQ24,"="&amp;BD22&amp;"#"&amp;BF18,AR19:AR24)</f>
        <v>0</v>
      </c>
      <c r="BM22">
        <f>SUMIF(AP19:AP24,"="&amp;BD22&amp;"#"&amp;BG18,AS19:AS24)+SUMIF(AQ19:AQ24,"="&amp;BD22&amp;"#"&amp;BG18,AR19:AR24)</f>
        <v>0</v>
      </c>
      <c r="BN22">
        <f>SUMIF(AP19:AP24,"="&amp;BD22&amp;"#"&amp;BH18,AS19:AS24)+SUMIF(AQ19:AQ24,"="&amp;BD22&amp;"#"&amp;BH18,AR19:AR24)</f>
        <v>0</v>
      </c>
      <c r="BQ22" s="15">
        <f>AX22</f>
        <v>8</v>
      </c>
      <c r="BR22" s="16">
        <f>SUMIF(AM19:AN24,"="&amp;BQ22,AT19:AU24)</f>
        <v>0</v>
      </c>
      <c r="BS22" s="16">
        <f>SUMIF(AM19:AN24,"="&amp;BQ22,AR19:AS24)</f>
        <v>0</v>
      </c>
      <c r="BT22" s="16">
        <f>SUMIF(AM19:AM24,"="&amp;BQ22,AS19:AS24)+SUMIF(AN19:AN24,"="&amp;BQ22,AR19:AR24)</f>
        <v>0</v>
      </c>
      <c r="BU22" s="16">
        <f>BS22-BT22</f>
        <v>0</v>
      </c>
      <c r="BV22">
        <f>BR22*10000+BU22*100+BS22</f>
        <v>0</v>
      </c>
      <c r="BW22">
        <f>RANK(BV22,BV19:BV22)</f>
        <v>1</v>
      </c>
      <c r="BX22">
        <f>BT27</f>
        <v>1</v>
      </c>
      <c r="BY22">
        <f>SUMIF(CK25:CL25,"="&amp;BQ22,CO25:CP25)</f>
        <v>0</v>
      </c>
      <c r="BZ22" s="16">
        <f>SUMPRODUCT(BR22:BY22,faktoren)</f>
        <v>100</v>
      </c>
      <c r="CA22">
        <f>RANK(BZ22,BZ19:BZ22)</f>
        <v>1</v>
      </c>
      <c r="CB22">
        <f>CA22+COUNTIF(CA18:CA21,"="&amp;CA22)</f>
        <v>4</v>
      </c>
      <c r="CC22" s="21">
        <f>AX22</f>
        <v>8</v>
      </c>
      <c r="CD22" s="16">
        <f>SUMIF(AM19:AN22,"="&amp;CC22,AT19:AU22)</f>
        <v>0</v>
      </c>
      <c r="CE22" s="16">
        <f>SUMIF(AM19:AN22,"="&amp;CC22,AR19:AS22)</f>
        <v>0</v>
      </c>
      <c r="CF22" s="16">
        <f>SUMIF(AM19:AM22,"="&amp;CC22,AS19:AS22)+SUMIF(AN19:AN22,"="&amp;CC22,AR19:AR22)</f>
        <v>0</v>
      </c>
      <c r="CG22" s="16">
        <f>CE22-CF22</f>
        <v>0</v>
      </c>
      <c r="CH22" s="16">
        <f>CD22*10000+CG22*100+CE22</f>
        <v>0</v>
      </c>
      <c r="CU22" s="157">
        <f t="shared" si="18"/>
      </c>
      <c r="CV22" s="158">
        <f t="shared" si="19"/>
      </c>
      <c r="CY22" s="3"/>
      <c r="CZ22" s="3"/>
      <c r="DA22" s="3"/>
      <c r="DB22" s="3"/>
    </row>
    <row r="23" spans="1:106" ht="12" customHeight="1">
      <c r="A23" s="3"/>
      <c r="B23" s="10"/>
      <c r="C23" s="11"/>
      <c r="D23" s="341" t="s">
        <v>77</v>
      </c>
      <c r="E23" s="342"/>
      <c r="F23" s="342"/>
      <c r="G23" s="342"/>
      <c r="H23" s="342" t="s">
        <v>74</v>
      </c>
      <c r="I23" s="342"/>
      <c r="J23" s="342"/>
      <c r="K23" s="353" t="s">
        <v>208</v>
      </c>
      <c r="L23" s="354"/>
      <c r="M23" s="354"/>
      <c r="N23" s="354"/>
      <c r="O23" s="354"/>
      <c r="P23" s="335" t="s">
        <v>206</v>
      </c>
      <c r="Q23" s="335"/>
      <c r="R23" s="335"/>
      <c r="S23" s="335"/>
      <c r="T23" s="335"/>
      <c r="U23" s="157"/>
      <c r="V23" s="158"/>
      <c r="W23" s="320"/>
      <c r="X23" s="321"/>
      <c r="Y23" s="12"/>
      <c r="Z23" s="40">
        <v>3</v>
      </c>
      <c r="AA23" s="345" t="str">
        <f>INDEX(teams_lang,CA26)</f>
        <v>Deutschland</v>
      </c>
      <c r="AB23" s="345"/>
      <c r="AC23" s="345"/>
      <c r="AD23" s="345"/>
      <c r="AE23" s="345"/>
      <c r="AF23" s="41">
        <f>COUNTIF(AV19:AW24,"="&amp;CA26)</f>
        <v>0</v>
      </c>
      <c r="AG23" s="42">
        <f>INDEX(BS19:BS22,BZ26)</f>
        <v>0</v>
      </c>
      <c r="AH23" s="43">
        <f>INDEX(BT19:BT22,BZ26)</f>
        <v>0</v>
      </c>
      <c r="AI23" s="44">
        <f>INDEX(BU19:BU22,BZ26)</f>
        <v>0</v>
      </c>
      <c r="AJ23" s="45">
        <f>INDEX(BR19:BR22,BZ26)</f>
        <v>0</v>
      </c>
      <c r="AK23" s="312"/>
      <c r="AL23">
        <v>5</v>
      </c>
      <c r="AM23">
        <v>8</v>
      </c>
      <c r="AN23">
        <v>6</v>
      </c>
      <c r="AP23" t="str">
        <f t="shared" si="10"/>
        <v>8#6</v>
      </c>
      <c r="AQ23" t="str">
        <f t="shared" si="11"/>
        <v>6#8</v>
      </c>
      <c r="AR23">
        <f t="shared" si="12"/>
        <v>0</v>
      </c>
      <c r="AS23">
        <f t="shared" si="13"/>
        <v>0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BC23" t="s">
        <v>32</v>
      </c>
      <c r="BI23" t="s">
        <v>33</v>
      </c>
      <c r="BO23" t="s">
        <v>34</v>
      </c>
      <c r="BR23" t="s">
        <v>35</v>
      </c>
      <c r="BT23" t="s">
        <v>36</v>
      </c>
      <c r="BY23" s="46" t="s">
        <v>37</v>
      </c>
      <c r="BZ23" s="47" t="s">
        <v>29</v>
      </c>
      <c r="CA23" s="47" t="s">
        <v>38</v>
      </c>
      <c r="CB23" s="48" t="s">
        <v>39</v>
      </c>
      <c r="CC23" s="21" t="b">
        <f>COUNT(CB24:CB27)=4</f>
        <v>0</v>
      </c>
      <c r="CU23" s="157">
        <f t="shared" si="18"/>
      </c>
      <c r="CV23" s="158">
        <f t="shared" si="19"/>
      </c>
      <c r="CY23" s="3"/>
      <c r="CZ23" s="3"/>
      <c r="DA23" s="3"/>
      <c r="DB23" s="3"/>
    </row>
    <row r="24" spans="1:106" ht="12" customHeight="1" thickBot="1">
      <c r="A24" s="3"/>
      <c r="B24" s="10"/>
      <c r="C24" s="11"/>
      <c r="D24" s="349" t="s">
        <v>77</v>
      </c>
      <c r="E24" s="350"/>
      <c r="F24" s="350"/>
      <c r="G24" s="350"/>
      <c r="H24" s="350" t="s">
        <v>72</v>
      </c>
      <c r="I24" s="350"/>
      <c r="J24" s="350"/>
      <c r="K24" s="351" t="s">
        <v>59</v>
      </c>
      <c r="L24" s="352"/>
      <c r="M24" s="352"/>
      <c r="N24" s="352"/>
      <c r="O24" s="352"/>
      <c r="P24" s="331" t="s">
        <v>207</v>
      </c>
      <c r="Q24" s="331"/>
      <c r="R24" s="331"/>
      <c r="S24" s="331"/>
      <c r="T24" s="331"/>
      <c r="U24" s="159"/>
      <c r="V24" s="160"/>
      <c r="W24" s="322"/>
      <c r="X24" s="323"/>
      <c r="Y24" s="12"/>
      <c r="Z24" s="49">
        <v>4</v>
      </c>
      <c r="AA24" s="326" t="str">
        <f>INDEX(teams_lang,CA27)</f>
        <v>Polen</v>
      </c>
      <c r="AB24" s="326"/>
      <c r="AC24" s="326"/>
      <c r="AD24" s="326"/>
      <c r="AE24" s="326"/>
      <c r="AF24" s="50">
        <f>COUNTIF(AV19:AW24,"="&amp;CA27)</f>
        <v>0</v>
      </c>
      <c r="AG24" s="51">
        <f>INDEX(BS19:BS22,BZ27)</f>
        <v>0</v>
      </c>
      <c r="AH24" s="52">
        <f>INDEX(BT19:BT22,BZ27)</f>
        <v>0</v>
      </c>
      <c r="AI24" s="53">
        <f>INDEX(BU19:BU22,BZ27)</f>
        <v>0</v>
      </c>
      <c r="AJ24" s="54">
        <f>INDEX(BR19:BR22,BZ27)</f>
        <v>0</v>
      </c>
      <c r="AK24" s="312"/>
      <c r="AL24">
        <v>6</v>
      </c>
      <c r="AM24">
        <v>5</v>
      </c>
      <c r="AN24">
        <v>7</v>
      </c>
      <c r="AP24" t="str">
        <f t="shared" si="10"/>
        <v>5#7</v>
      </c>
      <c r="AQ24" t="str">
        <f t="shared" si="11"/>
        <v>7#5</v>
      </c>
      <c r="AR24">
        <f t="shared" si="12"/>
        <v>0</v>
      </c>
      <c r="AS24">
        <f t="shared" si="13"/>
        <v>0</v>
      </c>
      <c r="AT24">
        <f t="shared" si="14"/>
        <v>0</v>
      </c>
      <c r="AU24">
        <f t="shared" si="15"/>
        <v>0</v>
      </c>
      <c r="AV24">
        <f t="shared" si="16"/>
        <v>0</v>
      </c>
      <c r="AW24">
        <f t="shared" si="17"/>
        <v>0</v>
      </c>
      <c r="AX24" s="15">
        <v>1</v>
      </c>
      <c r="AY24">
        <f>IF(INDEX(BR19:BR22,$AX24)&lt;&gt;INDEX(BR19:BR22,AY$7),0,AY19)</f>
        <v>0</v>
      </c>
      <c r="AZ24">
        <f>IF(INDEX(BR19:BR22,$AX24)&lt;&gt;INDEX(BR19:BR22,AZ$7),0,AZ19)</f>
        <v>0</v>
      </c>
      <c r="BA24">
        <f>IF(INDEX(BR19:BR22,$AX24)&lt;&gt;INDEX(BR19:BR22,BA$7),0,BA19)</f>
        <v>0</v>
      </c>
      <c r="BB24">
        <f>IF(INDEX(BR19:BR22,$AX24)&lt;&gt;INDEX(BR19:BR22,BB$7),0,BB19)</f>
        <v>0</v>
      </c>
      <c r="BC24" s="55">
        <f>SUM(AY24:BB24)</f>
        <v>0</v>
      </c>
      <c r="BE24">
        <f>IF(INDEX(BR19:BR22,$AX24)&lt;&gt;INDEX(BR19:BR22,BE$7),0,BE19)</f>
        <v>0</v>
      </c>
      <c r="BF24">
        <f>IF(INDEX(BR19:BR22,$AX24)&lt;&gt;INDEX(BR19:BR22,BF$7),0,BF19)</f>
        <v>0</v>
      </c>
      <c r="BG24">
        <f>IF(INDEX(BR19:BR22,$AX24)&lt;&gt;INDEX(BR19:BR22,BG$7),0,BG19)</f>
        <v>0</v>
      </c>
      <c r="BH24">
        <f>IF(INDEX(BR19:BR22,$AX24)&lt;&gt;INDEX(BR19:BR22,BH$7),0,BH19)</f>
        <v>0</v>
      </c>
      <c r="BI24" s="55">
        <f>SUM(BE24:BH24)</f>
        <v>0</v>
      </c>
      <c r="BK24">
        <f>IF(INDEX(BR19:BR22,$AX24)&lt;&gt;INDEX(BR19:BR22,BK$7),0,BK19)</f>
        <v>0</v>
      </c>
      <c r="BL24">
        <f>IF(INDEX(BR19:BR22,$AX24)&lt;&gt;INDEX(BR19:BR22,BL$7),0,BL19)</f>
        <v>0</v>
      </c>
      <c r="BM24">
        <f>IF(INDEX(BR19:BR22,$AX24)&lt;&gt;INDEX(BR19:BR22,BM$7),0,BM19)</f>
        <v>0</v>
      </c>
      <c r="BN24">
        <f>IF(INDEX(BR19:BR22,$AX24)&lt;&gt;INDEX(BR19:BR22,BN$7),0,BN19)</f>
        <v>0</v>
      </c>
      <c r="BO24" s="55">
        <f>SUM(BK24:BN24)-BI24</f>
        <v>0</v>
      </c>
      <c r="BR24">
        <f>BC24*10000+BO24*100+BI24</f>
        <v>0</v>
      </c>
      <c r="BT24">
        <f>RANK(BR24,BR24:BR27,2)</f>
        <v>1</v>
      </c>
      <c r="BY24" s="56">
        <v>1</v>
      </c>
      <c r="BZ24" s="47">
        <f>IF(COUNT(CB24:CB27)=4,MATCH(BY24,CB24:CB27,0),MATCH(BY24,CB19:CB22,0))</f>
        <v>1</v>
      </c>
      <c r="CA24" s="47">
        <f>INDEX(BQ19:BQ22,BZ24)</f>
        <v>5</v>
      </c>
      <c r="CB24" s="57"/>
      <c r="CC24" t="s">
        <v>40</v>
      </c>
      <c r="CH24" s="16"/>
      <c r="CI24" s="16" t="s">
        <v>9</v>
      </c>
      <c r="CK24" s="58" t="s">
        <v>41</v>
      </c>
      <c r="CL24" s="58" t="s">
        <v>42</v>
      </c>
      <c r="CM24" s="59" t="s">
        <v>43</v>
      </c>
      <c r="CN24" s="59" t="s">
        <v>44</v>
      </c>
      <c r="CO24" s="60" t="s">
        <v>45</v>
      </c>
      <c r="CP24" s="60" t="s">
        <v>45</v>
      </c>
      <c r="CU24" s="159">
        <f t="shared" si="18"/>
      </c>
      <c r="CV24" s="160">
        <f t="shared" si="19"/>
      </c>
      <c r="CY24" s="3"/>
      <c r="CZ24" s="3"/>
      <c r="DA24" s="3"/>
      <c r="DB24" s="3"/>
    </row>
    <row r="25" spans="1:106" ht="12" customHeight="1">
      <c r="A25" s="3"/>
      <c r="B25" s="10"/>
      <c r="C25" s="11"/>
      <c r="D25" s="337">
        <f>IF(CJ25=0,"","Entscheidungselfmeterschießen:")</f>
      </c>
      <c r="E25" s="337"/>
      <c r="F25" s="337"/>
      <c r="G25" s="337"/>
      <c r="H25" s="337"/>
      <c r="I25" s="337"/>
      <c r="J25" s="337"/>
      <c r="K25" s="337">
        <f>IF(CJ25=0,"",CK26)</f>
      </c>
      <c r="L25" s="337"/>
      <c r="M25" s="337"/>
      <c r="N25" s="337"/>
      <c r="O25" s="337"/>
      <c r="P25" s="338">
        <f>IF(CJ25=0,"",":  "&amp;CL26)</f>
      </c>
      <c r="Q25" s="338"/>
      <c r="R25" s="338"/>
      <c r="S25" s="338"/>
      <c r="T25" s="338"/>
      <c r="U25" s="161"/>
      <c r="V25" s="162"/>
      <c r="W25" s="20"/>
      <c r="X25" s="12"/>
      <c r="Y25" s="12"/>
      <c r="Z25" s="359">
        <f>IF(CC23,"Korrigierte Tabelle!","")</f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12"/>
      <c r="AL25" t="s">
        <v>46</v>
      </c>
      <c r="AM25">
        <f>MATCH(AM23,AX19:AX22,0)</f>
        <v>4</v>
      </c>
      <c r="AN25">
        <f>MATCH(AN23,AX19:AX22,0)</f>
        <v>2</v>
      </c>
      <c r="AR25">
        <f>IF(COUNT(U25:V25)&lt;&gt;2,0,U25)</f>
        <v>0</v>
      </c>
      <c r="AS25">
        <f>IF(COUNT(U25:V25)&lt;&gt;2,0,V25)</f>
        <v>0</v>
      </c>
      <c r="AT25">
        <f>IF(COUNT(U25:V25)&lt;&gt;2,0,IF(AR25&gt;AS25,3,IF(AR25&lt;AS25,0,1)))</f>
        <v>0</v>
      </c>
      <c r="AU25">
        <f>IF(COUNT(U25:V25)&lt;&gt;2,0,IF(AR25&lt;AS25,3,IF(AR25&gt;AS25,0,1)))</f>
        <v>0</v>
      </c>
      <c r="AV25">
        <f t="shared" si="16"/>
        <v>0</v>
      </c>
      <c r="AW25">
        <f t="shared" si="17"/>
        <v>0</v>
      </c>
      <c r="AX25" s="15">
        <v>2</v>
      </c>
      <c r="AY25">
        <f>IF(INDEX(BR19:BR22,$AX25)&lt;&gt;INDEX(BR19:BR22,AY$7),0,AY20)</f>
        <v>0</v>
      </c>
      <c r="AZ25">
        <f>IF(INDEX(BR19:BR22,$AX25)&lt;&gt;INDEX(BR19:BR22,AZ$7),0,AZ20)</f>
        <v>0</v>
      </c>
      <c r="BA25">
        <f>IF(INDEX(BR19:BR22,$AX25)&lt;&gt;INDEX(BR19:BR22,BA$7),0,BA20)</f>
        <v>0</v>
      </c>
      <c r="BB25">
        <f>IF(INDEX(BR19:BR22,$AX25)&lt;&gt;INDEX(BR19:BR22,BB$7),0,BB20)</f>
        <v>0</v>
      </c>
      <c r="BC25" s="55">
        <f>SUM(AY25:BB25)</f>
        <v>0</v>
      </c>
      <c r="BE25">
        <f>IF(INDEX(BR19:BR22,$AX25)&lt;&gt;INDEX(BR19:BR22,BE$7),0,BE20)</f>
        <v>0</v>
      </c>
      <c r="BF25">
        <f>IF(INDEX(BR19:BR22,$AX25)&lt;&gt;INDEX(BR19:BR22,BF$7),0,BF20)</f>
        <v>0</v>
      </c>
      <c r="BG25">
        <f>IF(INDEX(BR19:BR22,$AX25)&lt;&gt;INDEX(BR19:BR22,BG$7),0,BG20)</f>
        <v>0</v>
      </c>
      <c r="BH25">
        <f>IF(INDEX(BR19:BR22,$AX25)&lt;&gt;INDEX(BR19:BR22,BH$7),0,BH20)</f>
        <v>0</v>
      </c>
      <c r="BI25" s="55">
        <f>SUM(BE25:BH25)</f>
        <v>0</v>
      </c>
      <c r="BK25">
        <f>IF(INDEX(BR19:BR22,$AX25)&lt;&gt;INDEX(BR19:BR22,BK$7),0,BK20)</f>
        <v>0</v>
      </c>
      <c r="BL25">
        <f>IF(INDEX(BR19:BR22,$AX25)&lt;&gt;INDEX(BR19:BR22,BL$7),0,BL20)</f>
        <v>0</v>
      </c>
      <c r="BM25">
        <f>IF(INDEX(BR19:BR22,$AX25)&lt;&gt;INDEX(BR19:BR22,BM$7),0,BM20)</f>
        <v>0</v>
      </c>
      <c r="BN25">
        <f>IF(INDEX(BR19:BR22,$AX25)&lt;&gt;INDEX(BR19:BR22,BN$7),0,BN20)</f>
        <v>0</v>
      </c>
      <c r="BO25" s="55">
        <f>SUM(BK25:BN25)-BI25</f>
        <v>0</v>
      </c>
      <c r="BR25">
        <f>BC25*10000+BO25*100+BI25</f>
        <v>0</v>
      </c>
      <c r="BT25">
        <f>RANK(BR25,BR24:BR27,2)</f>
        <v>1</v>
      </c>
      <c r="BY25" s="56">
        <v>2</v>
      </c>
      <c r="BZ25" s="47">
        <f>IF(COUNT(CB24:CB27)=4,MATCH(BY25,CB24:CB27,0),MATCH(BY25,CB19:CB22,0))</f>
        <v>2</v>
      </c>
      <c r="CA25" s="47">
        <f>INDEX(BQ19:BQ22,BZ25)</f>
        <v>6</v>
      </c>
      <c r="CB25" s="57"/>
      <c r="CC25" t="s">
        <v>47</v>
      </c>
      <c r="CH25" s="60" t="s">
        <v>23</v>
      </c>
      <c r="CI25" s="60">
        <f>IF(AND(CM20,CM21),IF(CN20&gt;CN21,2,IF(CN20&lt;CN21,1,0)),IF(CM20,1,IF(CM21,2,0)))</f>
        <v>0</v>
      </c>
      <c r="CJ25" s="61">
        <f>IF(CI25=0,0,IF(INDEX(CN20:CN21,CI25)&gt;2,0,CI25))</f>
        <v>0</v>
      </c>
      <c r="CK25" s="58">
        <f>IF(CJ25=0,0,INDEX(AM23:AM24,CJ25))</f>
        <v>0</v>
      </c>
      <c r="CL25" s="58">
        <f>IF(CJ25=0,0,INDEX(AN23:AN24,CJ25))</f>
        <v>0</v>
      </c>
      <c r="CM25" s="59">
        <f>IF(CJ25=0,0,IF(COUNT(U25:V25)&lt;&gt;2,0,U25))</f>
        <v>0</v>
      </c>
      <c r="CN25" s="59">
        <f>IF(CJ25=0,0,IF(COUNT(U25:V25)&lt;&gt;2,0,V25))</f>
        <v>0</v>
      </c>
      <c r="CO25" s="60">
        <f>IF(CJ25=0,0,IF(CM25=CN25,0,IF(CM25&gt;CN25,1,0)))</f>
        <v>0</v>
      </c>
      <c r="CP25" s="60">
        <f>IF(CJ25=0,0,IF(CM25=CN25,0,IF(CM25&gt;CN25,0,1)))</f>
        <v>0</v>
      </c>
      <c r="CY25" s="3"/>
      <c r="CZ25" s="3"/>
      <c r="DA25" s="3"/>
      <c r="DB25" s="3"/>
    </row>
    <row r="26" spans="1:106" ht="15.75" customHeight="1">
      <c r="A26" s="3"/>
      <c r="B26" s="10"/>
      <c r="C26" s="11"/>
      <c r="D26" s="98" t="s">
        <v>52</v>
      </c>
      <c r="E26" s="98"/>
      <c r="F26" s="12"/>
      <c r="G26" s="69">
        <v>9</v>
      </c>
      <c r="H26" s="69"/>
      <c r="I26" s="69"/>
      <c r="J26" s="69"/>
      <c r="K26" s="69"/>
      <c r="L26" s="69"/>
      <c r="M26" s="12"/>
      <c r="N26" s="69">
        <v>10</v>
      </c>
      <c r="O26" s="69"/>
      <c r="P26" s="69"/>
      <c r="Q26" s="70"/>
      <c r="R26" s="69"/>
      <c r="S26" s="69"/>
      <c r="T26" s="69"/>
      <c r="U26" s="285"/>
      <c r="V26" s="286"/>
      <c r="W26" s="70"/>
      <c r="X26" s="12"/>
      <c r="Y26" s="12"/>
      <c r="Z26" s="70"/>
      <c r="AA26" s="70"/>
      <c r="AB26" s="70"/>
      <c r="AC26" s="69"/>
      <c r="AD26" s="70">
        <v>12</v>
      </c>
      <c r="AE26" s="65"/>
      <c r="AF26" s="65"/>
      <c r="AG26" s="65"/>
      <c r="AH26" s="65"/>
      <c r="AI26" s="71"/>
      <c r="AJ26" s="71"/>
      <c r="AK26" s="312"/>
      <c r="AL26" t="s">
        <v>49</v>
      </c>
      <c r="AM26">
        <f>MATCH(AM24,AX19:AX22,0)</f>
        <v>1</v>
      </c>
      <c r="AN26">
        <f>MATCH(AN24,AX19:AX22,0)</f>
        <v>3</v>
      </c>
      <c r="AX26" s="15">
        <v>3</v>
      </c>
      <c r="AY26">
        <f>IF(INDEX(BR19:BR22,$AX26)&lt;&gt;INDEX(BR19:BR22,AY$7),0,AY21)</f>
        <v>0</v>
      </c>
      <c r="AZ26">
        <f>IF(INDEX(BR19:BR22,$AX26)&lt;&gt;INDEX(BR19:BR22,AZ$7),0,AZ21)</f>
        <v>0</v>
      </c>
      <c r="BA26">
        <f>IF(INDEX(BR19:BR22,$AX26)&lt;&gt;INDEX(BR19:BR22,BA$7),0,BA21)</f>
        <v>0</v>
      </c>
      <c r="BB26">
        <f>IF(INDEX(BR19:BR22,$AX26)&lt;&gt;INDEX(BR19:BR22,BB$7),0,BB21)</f>
        <v>0</v>
      </c>
      <c r="BC26" s="55">
        <f>SUM(AY26:BB26)</f>
        <v>0</v>
      </c>
      <c r="BE26">
        <f>IF(INDEX(BR19:BR22,$AX26)&lt;&gt;INDEX(BR19:BR22,BE$7),0,BE21)</f>
        <v>0</v>
      </c>
      <c r="BF26">
        <f>IF(INDEX(BR19:BR22,$AX26)&lt;&gt;INDEX(BR19:BR22,BF$7),0,BF21)</f>
        <v>0</v>
      </c>
      <c r="BG26">
        <f>IF(INDEX(BR19:BR22,$AX26)&lt;&gt;INDEX(BR19:BR22,BG$7),0,BG21)</f>
        <v>0</v>
      </c>
      <c r="BH26">
        <f>IF(INDEX(BR19:BR22,$AX26)&lt;&gt;INDEX(BR19:BR22,BH$7),0,BH21)</f>
        <v>0</v>
      </c>
      <c r="BI26" s="55">
        <f>SUM(BE26:BH26)</f>
        <v>0</v>
      </c>
      <c r="BK26">
        <f>IF(INDEX(BR19:BR22,$AX26)&lt;&gt;INDEX(BR19:BR22,BK$7),0,BK21)</f>
        <v>0</v>
      </c>
      <c r="BL26">
        <f>IF(INDEX(BR19:BR22,$AX26)&lt;&gt;INDEX(BR19:BR22,BL$7),0,BL21)</f>
        <v>0</v>
      </c>
      <c r="BM26">
        <f>IF(INDEX(BR19:BR22,$AX26)&lt;&gt;INDEX(BR19:BR22,BM$7),0,BM21)</f>
        <v>0</v>
      </c>
      <c r="BN26">
        <f>IF(INDEX(BR19:BR22,$AX26)&lt;&gt;INDEX(BR19:BR22,BN$7),0,BN21)</f>
        <v>0</v>
      </c>
      <c r="BO26" s="55">
        <f>SUM(BK26:BN26)-BI26</f>
        <v>0</v>
      </c>
      <c r="BR26">
        <f>BC26*10000+BO26*100+BI26</f>
        <v>0</v>
      </c>
      <c r="BT26">
        <f>RANK(BR26,BR24:BR27,2)</f>
        <v>1</v>
      </c>
      <c r="BY26" s="56">
        <v>3</v>
      </c>
      <c r="BZ26" s="47">
        <f>IF(COUNT(CB24:CB27)=4,MATCH(BY26,CB24:CB27,0),MATCH(BY26,CB19:CB22,0))</f>
        <v>3</v>
      </c>
      <c r="CA26" s="47">
        <f>INDEX(BQ19:BQ22,BZ26)</f>
        <v>7</v>
      </c>
      <c r="CB26" s="57"/>
      <c r="CC26" t="s">
        <v>50</v>
      </c>
      <c r="CK26" s="67">
        <f>IF(CK25=0,"",INDEX(teams,CK25))</f>
      </c>
      <c r="CL26" s="67">
        <f>IF(CL25=0,"",INDEX(teams,CL25))</f>
      </c>
      <c r="CY26" s="3"/>
      <c r="CZ26" s="3"/>
      <c r="DA26" s="3"/>
      <c r="DB26" s="3"/>
    </row>
    <row r="27" spans="1:106" ht="15.75" customHeight="1" hidden="1">
      <c r="A27" s="3"/>
      <c r="B27" s="10"/>
      <c r="C27" s="11"/>
      <c r="D27" s="98"/>
      <c r="E27" s="9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87"/>
      <c r="V27" s="287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72"/>
      <c r="AK27" s="312"/>
      <c r="AX27" s="15">
        <v>4</v>
      </c>
      <c r="AY27">
        <f>IF(INDEX(BR19:BR22,$AX27)&lt;&gt;INDEX(BR19:BR22,AY$7),0,AY22)</f>
        <v>0</v>
      </c>
      <c r="AZ27">
        <f>IF(INDEX(BR19:BR22,$AX27)&lt;&gt;INDEX(BR19:BR22,AZ$7),0,AZ22)</f>
        <v>0</v>
      </c>
      <c r="BA27">
        <f>IF(INDEX(BR19:BR22,$AX27)&lt;&gt;INDEX(BR19:BR22,BA$7),0,BA22)</f>
        <v>0</v>
      </c>
      <c r="BB27">
        <f>IF(INDEX(BR19:BR22,$AX27)&lt;&gt;INDEX(BR19:BR22,BB$7),0,BB22)</f>
        <v>0</v>
      </c>
      <c r="BC27" s="55">
        <f>SUM(AY27:BB27)</f>
        <v>0</v>
      </c>
      <c r="BE27">
        <f>IF(INDEX(BR19:BR22,$AX27)&lt;&gt;INDEX(BR19:BR22,BE$7),0,BE22)</f>
        <v>0</v>
      </c>
      <c r="BF27">
        <f>IF(INDEX(BR19:BR22,$AX27)&lt;&gt;INDEX(BR19:BR22,BF$7),0,BF22)</f>
        <v>0</v>
      </c>
      <c r="BG27">
        <f>IF(INDEX(BR19:BR22,$AX27)&lt;&gt;INDEX(BR19:BR22,BG$7),0,BG22)</f>
        <v>0</v>
      </c>
      <c r="BH27">
        <f>IF(INDEX(BR19:BR22,$AX27)&lt;&gt;INDEX(BR19:BR22,BH$7),0,BH22)</f>
        <v>0</v>
      </c>
      <c r="BI27" s="55">
        <f>SUM(BE27:BH27)</f>
        <v>0</v>
      </c>
      <c r="BK27">
        <f>IF(INDEX(BR19:BR22,$AX27)&lt;&gt;INDEX(BR19:BR22,BK$7),0,BK22)</f>
        <v>0</v>
      </c>
      <c r="BL27">
        <f>IF(INDEX(BR19:BR22,$AX27)&lt;&gt;INDEX(BR19:BR22,BL$7),0,BL22)</f>
        <v>0</v>
      </c>
      <c r="BM27">
        <f>IF(INDEX(BR19:BR22,$AX27)&lt;&gt;INDEX(BR19:BR22,BM$7),0,BM22)</f>
        <v>0</v>
      </c>
      <c r="BN27">
        <f>IF(INDEX(BR19:BR22,$AX27)&lt;&gt;INDEX(BR19:BR22,BN$7),0,BN22)</f>
        <v>0</v>
      </c>
      <c r="BO27" s="55">
        <f>SUM(BK27:BN27)-BI27</f>
        <v>0</v>
      </c>
      <c r="BR27">
        <f>BC27*10000+BO27*100+BI27</f>
        <v>0</v>
      </c>
      <c r="BT27">
        <f>RANK(BR27,BR24:BR27,2)</f>
        <v>1</v>
      </c>
      <c r="BY27" s="56">
        <v>4</v>
      </c>
      <c r="BZ27" s="47">
        <f>IF(COUNT(CB24:CB27)=4,MATCH(BY27,CB24:CB27,0),MATCH(BY27,CB19:CB22,0))</f>
        <v>4</v>
      </c>
      <c r="CA27" s="47">
        <f>INDEX(BQ19:BQ22,BZ27)</f>
        <v>8</v>
      </c>
      <c r="CB27" s="57"/>
      <c r="CC27" t="s">
        <v>51</v>
      </c>
      <c r="CY27" s="3"/>
      <c r="CZ27" s="3"/>
      <c r="DA27" s="3"/>
      <c r="DB27" s="3"/>
    </row>
    <row r="28" spans="1:106" ht="1.5" customHeight="1">
      <c r="A28" s="3"/>
      <c r="B28" s="10"/>
      <c r="C28" s="11"/>
      <c r="D28" s="339"/>
      <c r="E28" s="339"/>
      <c r="F28" s="339"/>
      <c r="G28" s="339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357"/>
      <c r="V28" s="357"/>
      <c r="W28" s="11"/>
      <c r="X28" s="12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312"/>
      <c r="CY28" s="3"/>
      <c r="CZ28" s="3"/>
      <c r="DA28" s="3"/>
      <c r="DB28" s="3"/>
    </row>
    <row r="29" spans="1:106" ht="1.5" customHeight="1" thickBot="1">
      <c r="A29" s="3"/>
      <c r="B29" s="10"/>
      <c r="C29" s="11"/>
      <c r="D29" s="339"/>
      <c r="E29" s="339"/>
      <c r="F29" s="339"/>
      <c r="G29" s="339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357"/>
      <c r="V29" s="357"/>
      <c r="W29" s="11"/>
      <c r="X29" s="12"/>
      <c r="Y29" s="12"/>
      <c r="Z29" s="346" t="str">
        <f>IF(OR(COUNT(W30:X35)=0,NOT($AM$3)),"Aktuelle Tipptabelle",IF(COUNT(W30:X35)=12,"Endtabelle","Tabellenstand"))</f>
        <v>Aktuelle Tipptabelle</v>
      </c>
      <c r="AA29" s="346"/>
      <c r="AB29" s="346"/>
      <c r="AC29" s="346"/>
      <c r="AD29" s="346"/>
      <c r="AE29" s="11"/>
      <c r="AF29" s="325" t="s">
        <v>4</v>
      </c>
      <c r="AG29" s="325" t="s">
        <v>5</v>
      </c>
      <c r="AH29" s="325"/>
      <c r="AI29" s="325" t="s">
        <v>6</v>
      </c>
      <c r="AJ29" s="325" t="s">
        <v>7</v>
      </c>
      <c r="AK29" s="312"/>
      <c r="AL29" t="s">
        <v>8</v>
      </c>
      <c r="AP29" t="s">
        <v>9</v>
      </c>
      <c r="AR29" t="s">
        <v>10</v>
      </c>
      <c r="AS29" t="s">
        <v>11</v>
      </c>
      <c r="AT29" t="s">
        <v>12</v>
      </c>
      <c r="AU29" t="s">
        <v>13</v>
      </c>
      <c r="AV29" t="s">
        <v>14</v>
      </c>
      <c r="AX29" t="s">
        <v>15</v>
      </c>
      <c r="AY29" s="15">
        <f>AX30</f>
        <v>9</v>
      </c>
      <c r="AZ29" s="15">
        <f>AX31</f>
        <v>10</v>
      </c>
      <c r="BA29" s="15">
        <f>AX32</f>
        <v>11</v>
      </c>
      <c r="BB29" s="15">
        <f>AX33</f>
        <v>12</v>
      </c>
      <c r="BD29" t="s">
        <v>16</v>
      </c>
      <c r="BE29" s="15">
        <f>AY29</f>
        <v>9</v>
      </c>
      <c r="BF29" s="15">
        <f>AZ29</f>
        <v>10</v>
      </c>
      <c r="BG29" s="15">
        <f>BA29</f>
        <v>11</v>
      </c>
      <c r="BH29" s="15">
        <f>BB29</f>
        <v>12</v>
      </c>
      <c r="BJ29" t="s">
        <v>17</v>
      </c>
      <c r="BK29" s="15">
        <f>AY29</f>
        <v>9</v>
      </c>
      <c r="BL29" s="15">
        <f>AZ29</f>
        <v>10</v>
      </c>
      <c r="BM29" s="15">
        <f>BA29</f>
        <v>11</v>
      </c>
      <c r="BN29" s="15">
        <f>BB29</f>
        <v>12</v>
      </c>
      <c r="BR29" s="16" t="s">
        <v>7</v>
      </c>
      <c r="BS29" s="16" t="s">
        <v>5</v>
      </c>
      <c r="BT29" s="16" t="s">
        <v>18</v>
      </c>
      <c r="BU29" s="16" t="s">
        <v>19</v>
      </c>
      <c r="BV29" t="s">
        <v>20</v>
      </c>
      <c r="BW29" t="s">
        <v>21</v>
      </c>
      <c r="BX29" s="16" t="s">
        <v>22</v>
      </c>
      <c r="BY29" s="16" t="s">
        <v>23</v>
      </c>
      <c r="BZ29" t="s">
        <v>24</v>
      </c>
      <c r="CA29" t="s">
        <v>21</v>
      </c>
      <c r="CB29" t="s">
        <v>25</v>
      </c>
      <c r="CC29" s="17"/>
      <c r="CD29" s="18" t="s">
        <v>7</v>
      </c>
      <c r="CE29" s="18" t="s">
        <v>26</v>
      </c>
      <c r="CF29" s="18" t="s">
        <v>18</v>
      </c>
      <c r="CG29" s="18" t="s">
        <v>19</v>
      </c>
      <c r="CH29" s="18" t="s">
        <v>27</v>
      </c>
      <c r="CI29" s="19" t="s">
        <v>28</v>
      </c>
      <c r="CY29" s="3"/>
      <c r="CZ29" s="3"/>
      <c r="DA29" s="3"/>
      <c r="DB29" s="3"/>
    </row>
    <row r="30" spans="1:106" ht="12" customHeight="1">
      <c r="A30" s="3"/>
      <c r="B30" s="10"/>
      <c r="C30" s="11"/>
      <c r="D30" s="370" t="s">
        <v>78</v>
      </c>
      <c r="E30" s="371"/>
      <c r="F30" s="371"/>
      <c r="G30" s="371"/>
      <c r="H30" s="371" t="s">
        <v>79</v>
      </c>
      <c r="I30" s="371"/>
      <c r="J30" s="371"/>
      <c r="K30" s="372" t="s">
        <v>211</v>
      </c>
      <c r="L30" s="373"/>
      <c r="M30" s="373"/>
      <c r="N30" s="373"/>
      <c r="O30" s="373"/>
      <c r="P30" s="374" t="s">
        <v>212</v>
      </c>
      <c r="Q30" s="374"/>
      <c r="R30" s="374"/>
      <c r="S30" s="374"/>
      <c r="T30" s="374"/>
      <c r="U30" s="155"/>
      <c r="V30" s="156"/>
      <c r="W30" s="318"/>
      <c r="X30" s="319"/>
      <c r="Y30" s="12"/>
      <c r="Z30" s="347"/>
      <c r="AA30" s="347"/>
      <c r="AB30" s="347"/>
      <c r="AC30" s="347"/>
      <c r="AD30" s="347"/>
      <c r="AE30" s="12"/>
      <c r="AF30" s="360"/>
      <c r="AG30" s="360"/>
      <c r="AH30" s="360"/>
      <c r="AI30" s="325"/>
      <c r="AJ30" s="360"/>
      <c r="AK30" s="312"/>
      <c r="AL30">
        <v>1</v>
      </c>
      <c r="AM30">
        <v>11</v>
      </c>
      <c r="AN30">
        <v>12</v>
      </c>
      <c r="AP30" t="str">
        <f aca="true" t="shared" si="20" ref="AP30:AP35">AM30&amp;"#"&amp;AN30</f>
        <v>11#12</v>
      </c>
      <c r="AQ30" t="str">
        <f aca="true" t="shared" si="21" ref="AQ30:AQ35">AN30&amp;"#"&amp;AM30</f>
        <v>12#11</v>
      </c>
      <c r="AR30">
        <f aca="true" t="shared" si="22" ref="AR30:AR35">IF(COUNT(CU30:CV30)&lt;&gt;2,0,CU30)</f>
        <v>0</v>
      </c>
      <c r="AS30">
        <f aca="true" t="shared" si="23" ref="AS30:AS35">IF(COUNT(CU30:CV30)&lt;&gt;2,0,CV30)</f>
        <v>0</v>
      </c>
      <c r="AT30">
        <f aca="true" t="shared" si="24" ref="AT30:AT35">IF(COUNT(CU30:CV30)&lt;&gt;2,0,IF(AR30&gt;AS30,3,IF(AR30&lt;AS30,0,1)))</f>
        <v>0</v>
      </c>
      <c r="AU30">
        <f aca="true" t="shared" si="25" ref="AU30:AU35">IF(COUNT(CU30:CV30)&lt;&gt;2,0,IF(AR30&lt;AS30,3,IF(AR30&gt;AS30,0,1)))</f>
        <v>0</v>
      </c>
      <c r="AV30">
        <f aca="true" t="shared" si="26" ref="AV30:AV36">IF(SUM(AT30:AU30)&gt;0,AM30,0)</f>
        <v>0</v>
      </c>
      <c r="AW30">
        <f aca="true" t="shared" si="27" ref="AW30:AW36">IF(SUM(AT30:AU30)&gt;0,AN30,0)</f>
        <v>0</v>
      </c>
      <c r="AX30" s="15">
        <f>SMALL(AM30:AN31,1)</f>
        <v>9</v>
      </c>
      <c r="AY30">
        <f>SUMIF(AP30:AQ35,"="&amp;AX30&amp;"#"&amp;AY29,AT30:AU35)</f>
        <v>0</v>
      </c>
      <c r="AZ30">
        <f>SUMIF(AP30:AQ35,"="&amp;AX30&amp;"#"&amp;AZ29,AT30:AU35)</f>
        <v>0</v>
      </c>
      <c r="BA30">
        <f>SUMIF(AP30:AQ35,"="&amp;AX30&amp;"#"&amp;BA29,AT30:AU35)</f>
        <v>0</v>
      </c>
      <c r="BB30">
        <f>SUMIF(AP30:AQ35,"="&amp;AX30&amp;"#"&amp;BB29,AT30:AU35)</f>
        <v>0</v>
      </c>
      <c r="BD30" s="15">
        <f>AX30</f>
        <v>9</v>
      </c>
      <c r="BE30">
        <f>SUMIF(AP30:AQ35,"="&amp;BD30&amp;"#"&amp;BE29,AR30:AS35)</f>
        <v>0</v>
      </c>
      <c r="BF30">
        <f>SUMIF(AP30:AQ35,"="&amp;BD30&amp;"#"&amp;BF29,AR30:AS35)</f>
        <v>0</v>
      </c>
      <c r="BG30">
        <f>SUMIF(AP30:AQ35,"="&amp;BD30&amp;"#"&amp;BG29,AR30:AS35)</f>
        <v>0</v>
      </c>
      <c r="BH30">
        <f>SUMIF(AP30:AQ35,"="&amp;BD30&amp;"#"&amp;BH29,AR30:AS35)</f>
        <v>0</v>
      </c>
      <c r="BJ30" s="15">
        <f>AX30</f>
        <v>9</v>
      </c>
      <c r="BK30">
        <f>SUMIF(AP30:AP35,"="&amp;BD30&amp;"#"&amp;BE29,AS30:AS35)+SUMIF(AQ30:AQ35,"="&amp;BD30&amp;"#"&amp;BE29,AR30:AR35)</f>
        <v>0</v>
      </c>
      <c r="BL30">
        <f>SUMIF(AP30:AP35,"="&amp;BD30&amp;"#"&amp;BF29,AS30:AS35)+SUMIF(AQ30:AQ35,"="&amp;BD30&amp;"#"&amp;BF29,AR30:AR35)</f>
        <v>0</v>
      </c>
      <c r="BM30">
        <f>SUMIF(AP30:AP35,"="&amp;BD30&amp;"#"&amp;BG29,AS30:AS35)+SUMIF(AQ30:AQ35,"="&amp;BD30&amp;"#"&amp;BG29,AR30:AR35)</f>
        <v>0</v>
      </c>
      <c r="BN30">
        <f>SUMIF(AP30:AP35,"="&amp;BD30&amp;"#"&amp;BH29,AS30:AS35)+SUMIF(AQ30:AQ35,"="&amp;BD30&amp;"#"&amp;BH29,AR30:AR35)</f>
        <v>0</v>
      </c>
      <c r="BQ30" s="15">
        <f>AX30</f>
        <v>9</v>
      </c>
      <c r="BR30" s="16">
        <f>SUMIF(AM30:AN35,"="&amp;BQ30,AT30:AU35)</f>
        <v>0</v>
      </c>
      <c r="BS30" s="16">
        <f>SUMIF(AM30:AN35,"="&amp;BQ30,AR30:AS35)</f>
        <v>0</v>
      </c>
      <c r="BT30" s="16">
        <f>SUMIF(AM30:AM35,"="&amp;BQ30,AS30:AS35)+SUMIF(AN30:AN35,"="&amp;BQ30,AR30:AR35)</f>
        <v>0</v>
      </c>
      <c r="BU30" s="16">
        <f>BS30-BT30</f>
        <v>0</v>
      </c>
      <c r="BV30">
        <f>BR30*10000+BU30*100+BS30</f>
        <v>0</v>
      </c>
      <c r="BW30">
        <f>RANK(BV30,BV30:BV33)</f>
        <v>1</v>
      </c>
      <c r="BX30">
        <f>BT35</f>
        <v>1</v>
      </c>
      <c r="BY30">
        <f>SUMIF(CK36:CL36,"="&amp;BQ30,CO36:CP36)</f>
        <v>0</v>
      </c>
      <c r="BZ30" s="16">
        <f>SUMPRODUCT(BR30:BY30,faktoren)</f>
        <v>100</v>
      </c>
      <c r="CA30">
        <f>RANK(BZ30,BZ30:BZ33)</f>
        <v>1</v>
      </c>
      <c r="CB30">
        <f>CA30+COUNTIF(CA29:CA29,"="&amp;CA30)</f>
        <v>1</v>
      </c>
      <c r="CC30" s="21">
        <f>AX30</f>
        <v>9</v>
      </c>
      <c r="CD30" s="16">
        <f>SUMIF(AM30:AN33,"="&amp;CC30,AT30:AU33)</f>
        <v>0</v>
      </c>
      <c r="CE30" s="16">
        <f>SUMIF(AM30:AN33,"="&amp;CC30,AR30:AS33)</f>
        <v>0</v>
      </c>
      <c r="CF30" s="16">
        <f>SUMIF(AM30:AM33,"="&amp;CC30,AS30:AS33)+SUMIF(AN30:AN33,"="&amp;CC30,AR30:AR33)</f>
        <v>0</v>
      </c>
      <c r="CG30" s="16">
        <f>CE30-CF30</f>
        <v>0</v>
      </c>
      <c r="CH30" s="16">
        <f>CD30*10000+CG30*100+CE30</f>
        <v>0</v>
      </c>
      <c r="CI30" s="19" t="s">
        <v>29</v>
      </c>
      <c r="CJ30" s="19" t="s">
        <v>6</v>
      </c>
      <c r="CK30" s="22" t="s">
        <v>30</v>
      </c>
      <c r="CL30" s="22" t="s">
        <v>31</v>
      </c>
      <c r="CM30" s="22" t="s">
        <v>23</v>
      </c>
      <c r="CN30" s="22" t="s">
        <v>21</v>
      </c>
      <c r="CO30" s="19"/>
      <c r="CP30" s="19"/>
      <c r="CU30" s="163">
        <f aca="true" t="shared" si="28" ref="CU30:CU35">IF(OR(NOT($AM$3),COUNT(W30:X30)&lt;&gt;2),IF(COUNT(U30:V30)=2,U30,""),W30)</f>
      </c>
      <c r="CV30" s="164">
        <f aca="true" t="shared" si="29" ref="CV30:CV35">IF(OR(NOT($AM$3),COUNT(W30:X30)&lt;&gt;2),IF(COUNT(U30:V30)=2,V30,""),X30)</f>
      </c>
      <c r="CY30" s="3"/>
      <c r="CZ30" s="3"/>
      <c r="DA30" s="3"/>
      <c r="DB30" s="3"/>
    </row>
    <row r="31" spans="1:106" ht="12" customHeight="1">
      <c r="A31" s="3"/>
      <c r="B31" s="10"/>
      <c r="C31" s="11"/>
      <c r="D31" s="366" t="s">
        <v>80</v>
      </c>
      <c r="E31" s="367"/>
      <c r="F31" s="367"/>
      <c r="G31" s="367"/>
      <c r="H31" s="367" t="s">
        <v>81</v>
      </c>
      <c r="I31" s="367"/>
      <c r="J31" s="367"/>
      <c r="K31" s="368" t="s">
        <v>209</v>
      </c>
      <c r="L31" s="369"/>
      <c r="M31" s="369"/>
      <c r="N31" s="369"/>
      <c r="O31" s="369"/>
      <c r="P31" s="330" t="s">
        <v>210</v>
      </c>
      <c r="Q31" s="330"/>
      <c r="R31" s="330"/>
      <c r="S31" s="330"/>
      <c r="T31" s="330"/>
      <c r="U31" s="157"/>
      <c r="V31" s="158"/>
      <c r="W31" s="320"/>
      <c r="X31" s="321"/>
      <c r="Y31" s="12"/>
      <c r="Z31" s="73">
        <v>1</v>
      </c>
      <c r="AA31" s="356" t="str">
        <f>INDEX(teams_lang,CA35)</f>
        <v>Niederlande</v>
      </c>
      <c r="AB31" s="356"/>
      <c r="AC31" s="356"/>
      <c r="AD31" s="356"/>
      <c r="AE31" s="356"/>
      <c r="AF31" s="74">
        <f>COUNTIF(AV30:AW35,"="&amp;CA35)</f>
        <v>0</v>
      </c>
      <c r="AG31" s="75">
        <f>INDEX(BS30:BS33,BZ35)</f>
        <v>0</v>
      </c>
      <c r="AH31" s="76">
        <f>INDEX(BT30:BT33,BZ35)</f>
        <v>0</v>
      </c>
      <c r="AI31" s="77">
        <f>INDEX(BU30:BU33,BZ35)</f>
        <v>0</v>
      </c>
      <c r="AJ31" s="78">
        <f>INDEX(BR30:BR33,BZ35)</f>
        <v>0</v>
      </c>
      <c r="AK31" s="312"/>
      <c r="AL31">
        <v>2</v>
      </c>
      <c r="AM31">
        <v>9</v>
      </c>
      <c r="AN31">
        <v>10</v>
      </c>
      <c r="AP31" t="str">
        <f t="shared" si="20"/>
        <v>9#10</v>
      </c>
      <c r="AQ31" t="str">
        <f t="shared" si="21"/>
        <v>10#9</v>
      </c>
      <c r="AR31">
        <f t="shared" si="22"/>
        <v>0</v>
      </c>
      <c r="AS31">
        <f t="shared" si="23"/>
        <v>0</v>
      </c>
      <c r="AT31">
        <f t="shared" si="24"/>
        <v>0</v>
      </c>
      <c r="AU31">
        <f t="shared" si="25"/>
        <v>0</v>
      </c>
      <c r="AV31">
        <f t="shared" si="26"/>
        <v>0</v>
      </c>
      <c r="AW31">
        <f t="shared" si="27"/>
        <v>0</v>
      </c>
      <c r="AX31" s="15">
        <f>SMALL(AM30:AN31,2)</f>
        <v>10</v>
      </c>
      <c r="AY31">
        <f>SUMIF(AP30:AQ35,"="&amp;AX31&amp;"#"&amp;AY29,AT30:AU35)</f>
        <v>0</v>
      </c>
      <c r="AZ31">
        <f>SUMIF(AP30:AQ35,"="&amp;AX31&amp;"#"&amp;AZ29,AT30:AU35)</f>
        <v>0</v>
      </c>
      <c r="BA31">
        <f>SUMIF(AP30:AQ35,"="&amp;AX31&amp;"#"&amp;BA29,AT30:AU35)</f>
        <v>0</v>
      </c>
      <c r="BB31">
        <f>SUMIF(AP30:AQ35,"="&amp;AX31&amp;"#"&amp;BB29,AT30:AU35)</f>
        <v>0</v>
      </c>
      <c r="BD31" s="15">
        <f>AX31</f>
        <v>10</v>
      </c>
      <c r="BE31">
        <f>SUMIF(AP30:AQ35,"="&amp;BD31&amp;"#"&amp;BE29,AR30:AS35)</f>
        <v>0</v>
      </c>
      <c r="BF31">
        <f>SUMIF(AP30:AQ35,"="&amp;BD31&amp;"#"&amp;BF29,AR30:AS35)</f>
        <v>0</v>
      </c>
      <c r="BG31">
        <f>SUMIF(AP30:AQ35,"="&amp;BD31&amp;"#"&amp;BG29,AR30:AS35)</f>
        <v>0</v>
      </c>
      <c r="BH31">
        <f>SUMIF(AP30:AQ35,"="&amp;BD31&amp;"#"&amp;BH29,AR30:AS35)</f>
        <v>0</v>
      </c>
      <c r="BJ31" s="15">
        <f>AX31</f>
        <v>10</v>
      </c>
      <c r="BK31">
        <f>SUMIF(AP30:AP35,"="&amp;BD31&amp;"#"&amp;BE29,AS30:AS35)+SUMIF(AQ30:AQ35,"="&amp;BD31&amp;"#"&amp;BE29,AR30:AR35)</f>
        <v>0</v>
      </c>
      <c r="BL31">
        <f>SUMIF(AP30:AP35,"="&amp;BD31&amp;"#"&amp;BF29,AS30:AS35)+SUMIF(AQ30:AQ35,"="&amp;BD31&amp;"#"&amp;BF29,AR30:AR35)</f>
        <v>0</v>
      </c>
      <c r="BM31">
        <f>SUMIF(AP30:AP35,"="&amp;BD31&amp;"#"&amp;BG29,AS30:AS35)+SUMIF(AQ30:AQ35,"="&amp;BD31&amp;"#"&amp;BG29,AR30:AR35)</f>
        <v>0</v>
      </c>
      <c r="BN31">
        <f>SUMIF(AP30:AP35,"="&amp;BD31&amp;"#"&amp;BH29,AS30:AS35)+SUMIF(AQ30:AQ35,"="&amp;BD31&amp;"#"&amp;BH29,AR30:AR35)</f>
        <v>0</v>
      </c>
      <c r="BQ31" s="15">
        <f>AX31</f>
        <v>10</v>
      </c>
      <c r="BR31" s="16">
        <f>SUMIF(AM30:AN35,"="&amp;BQ31,AT30:AU35)</f>
        <v>0</v>
      </c>
      <c r="BS31" s="16">
        <f>SUMIF(AM30:AN35,"="&amp;BQ31,AR30:AS35)</f>
        <v>0</v>
      </c>
      <c r="BT31" s="16">
        <f>SUMIF(AM30:AM35,"="&amp;BQ31,AS30:AS35)+SUMIF(AN30:AN35,"="&amp;BQ31,AR30:AR35)</f>
        <v>0</v>
      </c>
      <c r="BU31" s="16">
        <f>BS31-BT31</f>
        <v>0</v>
      </c>
      <c r="BV31">
        <f>BR31*10000+BU31*100+BS31</f>
        <v>0</v>
      </c>
      <c r="BW31">
        <f>RANK(BV31,BV30:BV33)</f>
        <v>1</v>
      </c>
      <c r="BX31">
        <f>BT36</f>
        <v>1</v>
      </c>
      <c r="BY31">
        <f>SUMIF(CK36:CL36,"="&amp;BQ31,CO36:CP36)</f>
        <v>0</v>
      </c>
      <c r="BZ31" s="16">
        <f>SUMPRODUCT(BR31:BY31,faktoren)</f>
        <v>100</v>
      </c>
      <c r="CA31">
        <f>RANK(BZ31,BZ30:BZ33)</f>
        <v>1</v>
      </c>
      <c r="CB31">
        <f>CA31+COUNTIF(CA29:CA30,"="&amp;CA31)</f>
        <v>2</v>
      </c>
      <c r="CC31" s="21">
        <f>AX31</f>
        <v>10</v>
      </c>
      <c r="CD31" s="16">
        <f>SUMIF(AM30:AN33,"="&amp;CC31,AT30:AU33)</f>
        <v>0</v>
      </c>
      <c r="CE31" s="16">
        <f>SUMIF(AM30:AN33,"="&amp;CC31,AR30:AS33)</f>
        <v>0</v>
      </c>
      <c r="CF31" s="16">
        <f>SUMIF(AM30:AM33,"="&amp;CC31,AS30:AS33)+SUMIF(AN30:AN33,"="&amp;CC31,AR30:AR33)</f>
        <v>0</v>
      </c>
      <c r="CG31" s="16">
        <f>CE31-CF31</f>
        <v>0</v>
      </c>
      <c r="CH31" s="16">
        <f>CD31*10000+CG31*100+CE31</f>
        <v>0</v>
      </c>
      <c r="CI31" s="19">
        <v>1</v>
      </c>
      <c r="CJ31" s="22">
        <f>INDEX(CH30:CH33,AM36)-INDEX(CH30:CH33,AN36)</f>
        <v>0</v>
      </c>
      <c r="CK31" s="22" t="b">
        <f>CJ31=0</f>
        <v>1</v>
      </c>
      <c r="CL31" s="22" t="b">
        <f>AND(AT34=1,AU34=1)</f>
        <v>0</v>
      </c>
      <c r="CM31" s="22" t="b">
        <f>AND(CK31,CL31,COUNTIF(BV30:BV33,"="&amp;INDEX(BV30:BV33,AM36))=2)</f>
        <v>0</v>
      </c>
      <c r="CN31" s="19">
        <f>INDEX(BW30:BW33,AM36)</f>
        <v>1</v>
      </c>
      <c r="CO31" s="19"/>
      <c r="CP31" s="19"/>
      <c r="CU31" s="165">
        <f t="shared" si="28"/>
      </c>
      <c r="CV31" s="166">
        <f t="shared" si="29"/>
      </c>
      <c r="CY31" s="3"/>
      <c r="CZ31" s="3"/>
      <c r="DA31" s="3"/>
      <c r="DB31" s="3"/>
    </row>
    <row r="32" spans="1:106" ht="12" customHeight="1">
      <c r="A32" s="3"/>
      <c r="B32" s="10"/>
      <c r="C32" s="11"/>
      <c r="D32" s="366" t="s">
        <v>82</v>
      </c>
      <c r="E32" s="367"/>
      <c r="F32" s="367"/>
      <c r="G32" s="367"/>
      <c r="H32" s="367" t="s">
        <v>79</v>
      </c>
      <c r="I32" s="367"/>
      <c r="J32" s="367"/>
      <c r="K32" s="368" t="s">
        <v>210</v>
      </c>
      <c r="L32" s="369"/>
      <c r="M32" s="369"/>
      <c r="N32" s="369"/>
      <c r="O32" s="369"/>
      <c r="P32" s="330" t="s">
        <v>211</v>
      </c>
      <c r="Q32" s="330"/>
      <c r="R32" s="330"/>
      <c r="S32" s="330"/>
      <c r="T32" s="330"/>
      <c r="U32" s="157"/>
      <c r="V32" s="158"/>
      <c r="W32" s="320"/>
      <c r="X32" s="321"/>
      <c r="Y32" s="12"/>
      <c r="Z32" s="79">
        <v>2</v>
      </c>
      <c r="AA32" s="355" t="str">
        <f>INDEX(teams_lang,CA36)</f>
        <v>Italien</v>
      </c>
      <c r="AB32" s="355"/>
      <c r="AC32" s="355"/>
      <c r="AD32" s="355"/>
      <c r="AE32" s="355"/>
      <c r="AF32" s="80">
        <f>COUNTIF(AV30:AW35,"="&amp;CA36)</f>
        <v>0</v>
      </c>
      <c r="AG32" s="81">
        <f>INDEX(BS30:BS33,BZ36)</f>
        <v>0</v>
      </c>
      <c r="AH32" s="82">
        <f>INDEX(BT30:BT33,BZ36)</f>
        <v>0</v>
      </c>
      <c r="AI32" s="83">
        <f>INDEX(BU30:BU33,BZ36)</f>
        <v>0</v>
      </c>
      <c r="AJ32" s="84">
        <f>INDEX(BR30:BR33,BZ36)</f>
        <v>0</v>
      </c>
      <c r="AK32" s="312"/>
      <c r="AL32">
        <v>3</v>
      </c>
      <c r="AM32">
        <v>10</v>
      </c>
      <c r="AN32">
        <v>11</v>
      </c>
      <c r="AP32" t="str">
        <f t="shared" si="20"/>
        <v>10#11</v>
      </c>
      <c r="AQ32" t="str">
        <f t="shared" si="21"/>
        <v>11#10</v>
      </c>
      <c r="AR32">
        <f t="shared" si="22"/>
        <v>0</v>
      </c>
      <c r="AS32">
        <f t="shared" si="23"/>
        <v>0</v>
      </c>
      <c r="AT32">
        <f t="shared" si="24"/>
        <v>0</v>
      </c>
      <c r="AU32">
        <f t="shared" si="25"/>
        <v>0</v>
      </c>
      <c r="AV32">
        <f t="shared" si="26"/>
        <v>0</v>
      </c>
      <c r="AW32">
        <f t="shared" si="27"/>
        <v>0</v>
      </c>
      <c r="AX32" s="15">
        <f>SMALL(AM30:AN31,3)</f>
        <v>11</v>
      </c>
      <c r="AY32">
        <f>SUMIF(AP30:AQ35,"="&amp;AX32&amp;"#"&amp;AY29,AT30:AU35)</f>
        <v>0</v>
      </c>
      <c r="AZ32">
        <f>SUMIF(AP30:AQ35,"="&amp;AX32&amp;"#"&amp;AZ29,AT30:AU35)</f>
        <v>0</v>
      </c>
      <c r="BA32">
        <f>SUMIF(AP30:AQ35,"="&amp;AX32&amp;"#"&amp;BA29,AT30:AU35)</f>
        <v>0</v>
      </c>
      <c r="BB32">
        <f>SUMIF(AP30:AQ35,"="&amp;AX32&amp;"#"&amp;BB29,AT30:AU35)</f>
        <v>0</v>
      </c>
      <c r="BD32" s="15">
        <f>AX32</f>
        <v>11</v>
      </c>
      <c r="BE32">
        <f>SUMIF(AP30:AQ35,"="&amp;BD32&amp;"#"&amp;BE29,AR30:AS35)</f>
        <v>0</v>
      </c>
      <c r="BF32">
        <f>SUMIF(AP30:AQ35,"="&amp;BD32&amp;"#"&amp;BF29,AR30:AS35)</f>
        <v>0</v>
      </c>
      <c r="BG32">
        <f>SUMIF(AP30:AQ35,"="&amp;BD32&amp;"#"&amp;BG29,AR30:AS35)</f>
        <v>0</v>
      </c>
      <c r="BH32">
        <f>SUMIF(AP30:AQ35,"="&amp;BD32&amp;"#"&amp;BH29,AR30:AS35)</f>
        <v>0</v>
      </c>
      <c r="BJ32" s="15">
        <f>AX32</f>
        <v>11</v>
      </c>
      <c r="BK32">
        <f>SUMIF(AP30:AP35,"="&amp;BD32&amp;"#"&amp;BE29,AS30:AS35)+SUMIF(AQ30:AQ35,"="&amp;BD32&amp;"#"&amp;BE29,AR30:AR35)</f>
        <v>0</v>
      </c>
      <c r="BL32">
        <f>SUMIF(AP30:AP35,"="&amp;BD32&amp;"#"&amp;BF29,AS30:AS35)+SUMIF(AQ30:AQ35,"="&amp;BD32&amp;"#"&amp;BF29,AR30:AR35)</f>
        <v>0</v>
      </c>
      <c r="BM32">
        <f>SUMIF(AP30:AP35,"="&amp;BD32&amp;"#"&amp;BG29,AS30:AS35)+SUMIF(AQ30:AQ35,"="&amp;BD32&amp;"#"&amp;BG29,AR30:AR35)</f>
        <v>0</v>
      </c>
      <c r="BN32">
        <f>SUMIF(AP30:AP35,"="&amp;BD32&amp;"#"&amp;BH29,AS30:AS35)+SUMIF(AQ30:AQ35,"="&amp;BD32&amp;"#"&amp;BH29,AR30:AR35)</f>
        <v>0</v>
      </c>
      <c r="BQ32" s="15">
        <f>AX32</f>
        <v>11</v>
      </c>
      <c r="BR32" s="16">
        <f>SUMIF(AM30:AN35,"="&amp;BQ32,AT30:AU35)</f>
        <v>0</v>
      </c>
      <c r="BS32" s="16">
        <f>SUMIF(AM30:AN35,"="&amp;BQ32,AR30:AS35)</f>
        <v>0</v>
      </c>
      <c r="BT32" s="16">
        <f>SUMIF(AM30:AM35,"="&amp;BQ32,AS30:AS35)+SUMIF(AN30:AN35,"="&amp;BQ32,AR30:AR35)</f>
        <v>0</v>
      </c>
      <c r="BU32" s="16">
        <f>BS32-BT32</f>
        <v>0</v>
      </c>
      <c r="BV32">
        <f>BR32*10000+BU32*100+BS32</f>
        <v>0</v>
      </c>
      <c r="BW32">
        <f>RANK(BV32,BV30:BV33)</f>
        <v>1</v>
      </c>
      <c r="BX32">
        <f>BT37</f>
        <v>1</v>
      </c>
      <c r="BY32">
        <f>SUMIF(CK36:CL36,"="&amp;BQ32,CO36:CP36)</f>
        <v>0</v>
      </c>
      <c r="BZ32" s="16">
        <f>SUMPRODUCT(BR32:BY32,faktoren)</f>
        <v>100</v>
      </c>
      <c r="CA32">
        <f>RANK(BZ32,BZ30:BZ33)</f>
        <v>1</v>
      </c>
      <c r="CB32">
        <f>CA32+COUNTIF(CA29:CA31,"="&amp;CA32)</f>
        <v>3</v>
      </c>
      <c r="CC32" s="21">
        <f>AX32</f>
        <v>11</v>
      </c>
      <c r="CD32" s="16">
        <f>SUMIF(AM30:AN33,"="&amp;CC32,AT30:AU33)</f>
        <v>0</v>
      </c>
      <c r="CE32" s="16">
        <f>SUMIF(AM30:AN33,"="&amp;CC32,AR30:AS33)</f>
        <v>0</v>
      </c>
      <c r="CF32" s="16">
        <f>SUMIF(AM30:AM33,"="&amp;CC32,AS30:AS33)+SUMIF(AN30:AN33,"="&amp;CC32,AR30:AR33)</f>
        <v>0</v>
      </c>
      <c r="CG32" s="16">
        <f>CE32-CF32</f>
        <v>0</v>
      </c>
      <c r="CH32" s="16">
        <f>CD32*10000+CG32*100+CE32</f>
        <v>0</v>
      </c>
      <c r="CI32" s="19">
        <v>2</v>
      </c>
      <c r="CJ32" s="22">
        <f>INDEX(CH30:CH33,AM37)-INDEX(CH30:CH33,AN37)</f>
        <v>0</v>
      </c>
      <c r="CK32" s="22" t="b">
        <f>CJ32=0</f>
        <v>1</v>
      </c>
      <c r="CL32" s="22" t="b">
        <f>AND(AT35=1,AU35=1)</f>
        <v>0</v>
      </c>
      <c r="CM32" s="22" t="b">
        <f>AND(CK32,CL32,COUNTIF(BV30:BV33,"="&amp;INDEX(BV30:BV33,AM37))=2)</f>
        <v>0</v>
      </c>
      <c r="CN32" s="19">
        <f>INDEX(BW30:BW33,AM37)</f>
        <v>1</v>
      </c>
      <c r="CO32" s="19"/>
      <c r="CP32" s="19"/>
      <c r="CU32" s="165">
        <f t="shared" si="28"/>
      </c>
      <c r="CV32" s="166">
        <f t="shared" si="29"/>
      </c>
      <c r="CY32" s="3"/>
      <c r="CZ32" s="3"/>
      <c r="DA32" s="3"/>
      <c r="DB32" s="3"/>
    </row>
    <row r="33" spans="1:106" ht="12" customHeight="1">
      <c r="A33" s="3"/>
      <c r="B33" s="10"/>
      <c r="C33" s="11"/>
      <c r="D33" s="366" t="s">
        <v>83</v>
      </c>
      <c r="E33" s="367"/>
      <c r="F33" s="367"/>
      <c r="G33" s="367"/>
      <c r="H33" s="367" t="s">
        <v>81</v>
      </c>
      <c r="I33" s="367"/>
      <c r="J33" s="367"/>
      <c r="K33" s="368" t="s">
        <v>209</v>
      </c>
      <c r="L33" s="369"/>
      <c r="M33" s="369"/>
      <c r="N33" s="369"/>
      <c r="O33" s="369"/>
      <c r="P33" s="330" t="s">
        <v>212</v>
      </c>
      <c r="Q33" s="330"/>
      <c r="R33" s="330"/>
      <c r="S33" s="330"/>
      <c r="T33" s="330"/>
      <c r="U33" s="157"/>
      <c r="V33" s="158"/>
      <c r="W33" s="320"/>
      <c r="X33" s="321"/>
      <c r="Y33" s="12"/>
      <c r="Z33" s="35"/>
      <c r="AA33" s="35"/>
      <c r="AB33" s="35"/>
      <c r="AC33" s="36"/>
      <c r="AD33" s="37"/>
      <c r="AE33" s="37"/>
      <c r="AF33" s="35"/>
      <c r="AG33" s="38"/>
      <c r="AH33" s="39"/>
      <c r="AI33" s="35"/>
      <c r="AJ33" s="35"/>
      <c r="AK33" s="312"/>
      <c r="AL33">
        <v>4</v>
      </c>
      <c r="AM33">
        <v>9</v>
      </c>
      <c r="AN33">
        <v>12</v>
      </c>
      <c r="AP33" t="str">
        <f t="shared" si="20"/>
        <v>9#12</v>
      </c>
      <c r="AQ33" t="str">
        <f t="shared" si="21"/>
        <v>12#9</v>
      </c>
      <c r="AR33">
        <f t="shared" si="22"/>
        <v>0</v>
      </c>
      <c r="AS33">
        <f t="shared" si="23"/>
        <v>0</v>
      </c>
      <c r="AT33">
        <f t="shared" si="24"/>
        <v>0</v>
      </c>
      <c r="AU33">
        <f t="shared" si="25"/>
        <v>0</v>
      </c>
      <c r="AV33">
        <f t="shared" si="26"/>
        <v>0</v>
      </c>
      <c r="AW33">
        <f t="shared" si="27"/>
        <v>0</v>
      </c>
      <c r="AX33" s="15">
        <f>SMALL(AM30:AN31,4)</f>
        <v>12</v>
      </c>
      <c r="AY33">
        <f>SUMIF(AP30:AQ35,"="&amp;AX33&amp;"#"&amp;AY29,AT30:AU35)</f>
        <v>0</v>
      </c>
      <c r="AZ33">
        <f>SUMIF(AP30:AQ35,"="&amp;AX33&amp;"#"&amp;AZ29,AT30:AU35)</f>
        <v>0</v>
      </c>
      <c r="BA33">
        <f>SUMIF(AP30:AQ35,"="&amp;AX33&amp;"#"&amp;BA29,AT30:AU35)</f>
        <v>0</v>
      </c>
      <c r="BB33">
        <f>SUMIF(AP30:AQ35,"="&amp;AX33&amp;"#"&amp;BB29,AT30:AU35)</f>
        <v>0</v>
      </c>
      <c r="BD33" s="15">
        <f>AX33</f>
        <v>12</v>
      </c>
      <c r="BE33">
        <f>SUMIF(AP30:AQ35,"="&amp;BD33&amp;"#"&amp;BE29,AR30:AS35)</f>
        <v>0</v>
      </c>
      <c r="BF33">
        <f>SUMIF(AP30:AQ35,"="&amp;BD33&amp;"#"&amp;BF29,AR30:AS35)</f>
        <v>0</v>
      </c>
      <c r="BG33">
        <f>SUMIF(AP30:AQ35,"="&amp;BD33&amp;"#"&amp;BG29,AR30:AS35)</f>
        <v>0</v>
      </c>
      <c r="BH33">
        <f>SUMIF(AP30:AQ35,"="&amp;BD33&amp;"#"&amp;BH29,AR30:AS35)</f>
        <v>0</v>
      </c>
      <c r="BJ33" s="15">
        <f>AX33</f>
        <v>12</v>
      </c>
      <c r="BK33">
        <f>SUMIF(AP30:AP35,"="&amp;BD33&amp;"#"&amp;BE29,AS30:AS35)+SUMIF(AQ30:AQ35,"="&amp;BD33&amp;"#"&amp;BE29,AR30:AR35)</f>
        <v>0</v>
      </c>
      <c r="BL33">
        <f>SUMIF(AP30:AP35,"="&amp;BD33&amp;"#"&amp;BF29,AS30:AS35)+SUMIF(AQ30:AQ35,"="&amp;BD33&amp;"#"&amp;BF29,AR30:AR35)</f>
        <v>0</v>
      </c>
      <c r="BM33">
        <f>SUMIF(AP30:AP35,"="&amp;BD33&amp;"#"&amp;BG29,AS30:AS35)+SUMIF(AQ30:AQ35,"="&amp;BD33&amp;"#"&amp;BG29,AR30:AR35)</f>
        <v>0</v>
      </c>
      <c r="BN33">
        <f>SUMIF(AP30:AP35,"="&amp;BD33&amp;"#"&amp;BH29,AS30:AS35)+SUMIF(AQ30:AQ35,"="&amp;BD33&amp;"#"&amp;BH29,AR30:AR35)</f>
        <v>0</v>
      </c>
      <c r="BQ33" s="15">
        <f>AX33</f>
        <v>12</v>
      </c>
      <c r="BR33" s="16">
        <f>SUMIF(AM30:AN35,"="&amp;BQ33,AT30:AU35)</f>
        <v>0</v>
      </c>
      <c r="BS33" s="16">
        <f>SUMIF(AM30:AN35,"="&amp;BQ33,AR30:AS35)</f>
        <v>0</v>
      </c>
      <c r="BT33" s="16">
        <f>SUMIF(AM30:AM35,"="&amp;BQ33,AS30:AS35)+SUMIF(AN30:AN35,"="&amp;BQ33,AR30:AR35)</f>
        <v>0</v>
      </c>
      <c r="BU33" s="16">
        <f>BS33-BT33</f>
        <v>0</v>
      </c>
      <c r="BV33">
        <f>BR33*10000+BU33*100+BS33</f>
        <v>0</v>
      </c>
      <c r="BW33">
        <f>RANK(BV33,BV30:BV33)</f>
        <v>1</v>
      </c>
      <c r="BX33">
        <f>BT38</f>
        <v>1</v>
      </c>
      <c r="BY33">
        <f>SUMIF(CK36:CL36,"="&amp;BQ33,CO36:CP36)</f>
        <v>0</v>
      </c>
      <c r="BZ33" s="16">
        <f>SUMPRODUCT(BR33:BY33,faktoren)</f>
        <v>100</v>
      </c>
      <c r="CA33">
        <f>RANK(BZ33,BZ30:BZ33)</f>
        <v>1</v>
      </c>
      <c r="CB33">
        <f>CA33+COUNTIF(CA29:CA32,"="&amp;CA33)</f>
        <v>4</v>
      </c>
      <c r="CC33" s="21">
        <f>AX33</f>
        <v>12</v>
      </c>
      <c r="CD33" s="16">
        <f>SUMIF(AM30:AN33,"="&amp;CC33,AT30:AU33)</f>
        <v>0</v>
      </c>
      <c r="CE33" s="16">
        <f>SUMIF(AM30:AN33,"="&amp;CC33,AR30:AS33)</f>
        <v>0</v>
      </c>
      <c r="CF33" s="16">
        <f>SUMIF(AM30:AM33,"="&amp;CC33,AS30:AS33)+SUMIF(AN30:AN33,"="&amp;CC33,AR30:AR33)</f>
        <v>0</v>
      </c>
      <c r="CG33" s="16">
        <f>CE33-CF33</f>
        <v>0</v>
      </c>
      <c r="CH33" s="16">
        <f>CD33*10000+CG33*100+CE33</f>
        <v>0</v>
      </c>
      <c r="CU33" s="165">
        <f t="shared" si="28"/>
      </c>
      <c r="CV33" s="166">
        <f t="shared" si="29"/>
      </c>
      <c r="CY33" s="3"/>
      <c r="CZ33" s="3"/>
      <c r="DA33" s="3"/>
      <c r="DB33" s="3"/>
    </row>
    <row r="34" spans="1:106" ht="12" customHeight="1">
      <c r="A34" s="3"/>
      <c r="B34" s="10"/>
      <c r="C34" s="11"/>
      <c r="D34" s="366" t="s">
        <v>84</v>
      </c>
      <c r="E34" s="367"/>
      <c r="F34" s="367"/>
      <c r="G34" s="367"/>
      <c r="H34" s="367" t="s">
        <v>81</v>
      </c>
      <c r="I34" s="367"/>
      <c r="J34" s="367"/>
      <c r="K34" s="368" t="s">
        <v>209</v>
      </c>
      <c r="L34" s="369"/>
      <c r="M34" s="369"/>
      <c r="N34" s="369"/>
      <c r="O34" s="369"/>
      <c r="P34" s="330" t="s">
        <v>211</v>
      </c>
      <c r="Q34" s="330"/>
      <c r="R34" s="330"/>
      <c r="S34" s="330"/>
      <c r="T34" s="330"/>
      <c r="U34" s="157"/>
      <c r="V34" s="158"/>
      <c r="W34" s="320"/>
      <c r="X34" s="321"/>
      <c r="Y34" s="12"/>
      <c r="Z34" s="40">
        <v>3</v>
      </c>
      <c r="AA34" s="345" t="str">
        <f>INDEX(teams_lang,CA37)</f>
        <v>Rumänien</v>
      </c>
      <c r="AB34" s="345"/>
      <c r="AC34" s="345"/>
      <c r="AD34" s="345"/>
      <c r="AE34" s="345"/>
      <c r="AF34" s="41">
        <f>COUNTIF(AV30:AW35,"="&amp;CA37)</f>
        <v>0</v>
      </c>
      <c r="AG34" s="42">
        <f>INDEX(BS30:BS33,BZ37)</f>
        <v>0</v>
      </c>
      <c r="AH34" s="43">
        <f>INDEX(BT30:BT33,BZ37)</f>
        <v>0</v>
      </c>
      <c r="AI34" s="44">
        <f>INDEX(BU30:BU33,BZ37)</f>
        <v>0</v>
      </c>
      <c r="AJ34" s="45">
        <f>INDEX(BR30:BR33,BZ37)</f>
        <v>0</v>
      </c>
      <c r="AK34" s="312"/>
      <c r="AL34">
        <v>5</v>
      </c>
      <c r="AM34">
        <v>9</v>
      </c>
      <c r="AN34">
        <v>11</v>
      </c>
      <c r="AP34" t="str">
        <f t="shared" si="20"/>
        <v>9#11</v>
      </c>
      <c r="AQ34" t="str">
        <f t="shared" si="21"/>
        <v>11#9</v>
      </c>
      <c r="AR34">
        <f t="shared" si="22"/>
        <v>0</v>
      </c>
      <c r="AS34">
        <f t="shared" si="23"/>
        <v>0</v>
      </c>
      <c r="AT34">
        <f t="shared" si="24"/>
        <v>0</v>
      </c>
      <c r="AU34">
        <f t="shared" si="25"/>
        <v>0</v>
      </c>
      <c r="AV34">
        <f t="shared" si="26"/>
        <v>0</v>
      </c>
      <c r="AW34">
        <f t="shared" si="27"/>
        <v>0</v>
      </c>
      <c r="BC34" t="s">
        <v>32</v>
      </c>
      <c r="BI34" t="s">
        <v>33</v>
      </c>
      <c r="BO34" t="s">
        <v>34</v>
      </c>
      <c r="BR34" t="s">
        <v>35</v>
      </c>
      <c r="BT34" t="s">
        <v>36</v>
      </c>
      <c r="BY34" s="46" t="s">
        <v>37</v>
      </c>
      <c r="BZ34" s="47" t="s">
        <v>29</v>
      </c>
      <c r="CA34" s="47" t="s">
        <v>38</v>
      </c>
      <c r="CB34" s="48" t="s">
        <v>39</v>
      </c>
      <c r="CC34" s="21" t="b">
        <f>COUNT(CB35:CB38)=4</f>
        <v>0</v>
      </c>
      <c r="CU34" s="165">
        <f t="shared" si="28"/>
      </c>
      <c r="CV34" s="166">
        <f t="shared" si="29"/>
      </c>
      <c r="CY34" s="3"/>
      <c r="CZ34" s="3"/>
      <c r="DA34" s="3"/>
      <c r="DB34" s="3"/>
    </row>
    <row r="35" spans="1:106" ht="12" customHeight="1" thickBot="1">
      <c r="A35" s="3"/>
      <c r="B35" s="10"/>
      <c r="C35" s="11"/>
      <c r="D35" s="361" t="s">
        <v>84</v>
      </c>
      <c r="E35" s="362"/>
      <c r="F35" s="362"/>
      <c r="G35" s="362"/>
      <c r="H35" s="362" t="s">
        <v>79</v>
      </c>
      <c r="I35" s="362"/>
      <c r="J35" s="362"/>
      <c r="K35" s="363" t="s">
        <v>212</v>
      </c>
      <c r="L35" s="364"/>
      <c r="M35" s="364"/>
      <c r="N35" s="364"/>
      <c r="O35" s="364"/>
      <c r="P35" s="365" t="s">
        <v>210</v>
      </c>
      <c r="Q35" s="365"/>
      <c r="R35" s="365"/>
      <c r="S35" s="365"/>
      <c r="T35" s="365"/>
      <c r="U35" s="159"/>
      <c r="V35" s="160"/>
      <c r="W35" s="322"/>
      <c r="X35" s="323"/>
      <c r="Y35" s="12"/>
      <c r="Z35" s="49">
        <v>4</v>
      </c>
      <c r="AA35" s="326" t="str">
        <f>INDEX(teams_lang,CA38)</f>
        <v>Frankreich</v>
      </c>
      <c r="AB35" s="326"/>
      <c r="AC35" s="326"/>
      <c r="AD35" s="326"/>
      <c r="AE35" s="326"/>
      <c r="AF35" s="50">
        <f>COUNTIF(AV30:AW35,"="&amp;CA38)</f>
        <v>0</v>
      </c>
      <c r="AG35" s="51">
        <f>INDEX(BS30:BS33,BZ38)</f>
        <v>0</v>
      </c>
      <c r="AH35" s="52">
        <f>INDEX(BT30:BT33,BZ38)</f>
        <v>0</v>
      </c>
      <c r="AI35" s="53">
        <f>INDEX(BU30:BU33,BZ38)</f>
        <v>0</v>
      </c>
      <c r="AJ35" s="54">
        <f>INDEX(BR30:BR33,BZ38)</f>
        <v>0</v>
      </c>
      <c r="AK35" s="312"/>
      <c r="AL35">
        <v>6</v>
      </c>
      <c r="AM35">
        <v>12</v>
      </c>
      <c r="AN35">
        <v>10</v>
      </c>
      <c r="AP35" t="str">
        <f t="shared" si="20"/>
        <v>12#10</v>
      </c>
      <c r="AQ35" t="str">
        <f t="shared" si="21"/>
        <v>10#12</v>
      </c>
      <c r="AR35">
        <f t="shared" si="22"/>
        <v>0</v>
      </c>
      <c r="AS35">
        <f t="shared" si="23"/>
        <v>0</v>
      </c>
      <c r="AT35">
        <f t="shared" si="24"/>
        <v>0</v>
      </c>
      <c r="AU35">
        <f t="shared" si="25"/>
        <v>0</v>
      </c>
      <c r="AV35">
        <f t="shared" si="26"/>
        <v>0</v>
      </c>
      <c r="AW35">
        <f t="shared" si="27"/>
        <v>0</v>
      </c>
      <c r="AX35" s="15">
        <v>1</v>
      </c>
      <c r="AY35">
        <f>IF(INDEX(BR30:BR33,$AX35)&lt;&gt;INDEX(BR30:BR33,AY$7),0,AY30)</f>
        <v>0</v>
      </c>
      <c r="AZ35">
        <f>IF(INDEX(BR30:BR33,$AX35)&lt;&gt;INDEX(BR30:BR33,AZ$7),0,AZ30)</f>
        <v>0</v>
      </c>
      <c r="BA35">
        <f>IF(INDEX(BR30:BR33,$AX35)&lt;&gt;INDEX(BR30:BR33,BA$7),0,BA30)</f>
        <v>0</v>
      </c>
      <c r="BB35">
        <f>IF(INDEX(BR30:BR33,$AX35)&lt;&gt;INDEX(BR30:BR33,BB$7),0,BB30)</f>
        <v>0</v>
      </c>
      <c r="BC35" s="55">
        <f>SUM(AY35:BB35)</f>
        <v>0</v>
      </c>
      <c r="BE35">
        <f>IF(INDEX(BR30:BR33,$AX35)&lt;&gt;INDEX(BR30:BR33,BE$7),0,BE30)</f>
        <v>0</v>
      </c>
      <c r="BF35">
        <f>IF(INDEX(BR30:BR33,$AX35)&lt;&gt;INDEX(BR30:BR33,BF$7),0,BF30)</f>
        <v>0</v>
      </c>
      <c r="BG35">
        <f>IF(INDEX(BR30:BR33,$AX35)&lt;&gt;INDEX(BR30:BR33,BG$7),0,BG30)</f>
        <v>0</v>
      </c>
      <c r="BH35">
        <f>IF(INDEX(BR30:BR33,$AX35)&lt;&gt;INDEX(BR30:BR33,BH$7),0,BH30)</f>
        <v>0</v>
      </c>
      <c r="BI35" s="55">
        <f>SUM(BE35:BH35)</f>
        <v>0</v>
      </c>
      <c r="BK35">
        <f>IF(INDEX(BR30:BR33,$AX35)&lt;&gt;INDEX(BR30:BR33,BK$7),0,BK30)</f>
        <v>0</v>
      </c>
      <c r="BL35">
        <f>IF(INDEX(BR30:BR33,$AX35)&lt;&gt;INDEX(BR30:BR33,BL$7),0,BL30)</f>
        <v>0</v>
      </c>
      <c r="BM35">
        <f>IF(INDEX(BR30:BR33,$AX35)&lt;&gt;INDEX(BR30:BR33,BM$7),0,BM30)</f>
        <v>0</v>
      </c>
      <c r="BN35">
        <f>IF(INDEX(BR30:BR33,$AX35)&lt;&gt;INDEX(BR30:BR33,BN$7),0,BN30)</f>
        <v>0</v>
      </c>
      <c r="BO35" s="55">
        <f>SUM(BK35:BN35)-BI35</f>
        <v>0</v>
      </c>
      <c r="BR35">
        <f>BC35*10000+BO35*100+BI35</f>
        <v>0</v>
      </c>
      <c r="BT35">
        <f>RANK(BR35,BR35:BR38,2)</f>
        <v>1</v>
      </c>
      <c r="BY35" s="56">
        <v>1</v>
      </c>
      <c r="BZ35" s="47">
        <f>IF(COUNT(CB35:CB38)=4,MATCH(BY35,CB35:CB38,0),MATCH(BY35,CB30:CB33,0))</f>
        <v>1</v>
      </c>
      <c r="CA35" s="47">
        <f>INDEX(BQ30:BQ33,BZ35)</f>
        <v>9</v>
      </c>
      <c r="CB35" s="57"/>
      <c r="CC35" t="s">
        <v>40</v>
      </c>
      <c r="CH35" s="16"/>
      <c r="CI35" s="16" t="s">
        <v>9</v>
      </c>
      <c r="CK35" s="58" t="s">
        <v>41</v>
      </c>
      <c r="CL35" s="58" t="s">
        <v>42</v>
      </c>
      <c r="CM35" s="59" t="s">
        <v>43</v>
      </c>
      <c r="CN35" s="59" t="s">
        <v>44</v>
      </c>
      <c r="CO35" s="60" t="s">
        <v>45</v>
      </c>
      <c r="CP35" s="60" t="s">
        <v>45</v>
      </c>
      <c r="CU35" s="167">
        <f t="shared" si="28"/>
      </c>
      <c r="CV35" s="168">
        <f t="shared" si="29"/>
      </c>
      <c r="CY35" s="3"/>
      <c r="CZ35" s="3"/>
      <c r="DA35" s="3"/>
      <c r="DB35" s="3"/>
    </row>
    <row r="36" spans="1:106" ht="12" customHeight="1">
      <c r="A36" s="3"/>
      <c r="B36" s="10"/>
      <c r="C36" s="11"/>
      <c r="D36" s="336">
        <f>IF(CJ36=0,"","Entscheidungselfmeterschießen:")</f>
      </c>
      <c r="E36" s="336"/>
      <c r="F36" s="336"/>
      <c r="G36" s="336"/>
      <c r="H36" s="336"/>
      <c r="I36" s="336"/>
      <c r="J36" s="336"/>
      <c r="K36" s="336">
        <f>IF(CJ36=0,"",CK37)</f>
      </c>
      <c r="L36" s="336"/>
      <c r="M36" s="336"/>
      <c r="N36" s="336"/>
      <c r="O36" s="336"/>
      <c r="P36" s="327">
        <f>IF(CJ36=0,"",":  "&amp;CL37)</f>
      </c>
      <c r="Q36" s="327"/>
      <c r="R36" s="327"/>
      <c r="S36" s="327"/>
      <c r="T36" s="327"/>
      <c r="U36" s="161"/>
      <c r="V36" s="162"/>
      <c r="W36" s="20"/>
      <c r="X36" s="12"/>
      <c r="Y36" s="12"/>
      <c r="Z36" s="359">
        <f>IF(CC34,"Korrigierte Tabelle!","")</f>
      </c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12"/>
      <c r="AL36" t="s">
        <v>46</v>
      </c>
      <c r="AM36">
        <f>MATCH(AM34,AX30:AX33,0)</f>
        <v>1</v>
      </c>
      <c r="AN36">
        <f>MATCH(AN34,AX30:AX33,0)</f>
        <v>3</v>
      </c>
      <c r="AR36">
        <f>IF(COUNT(U36:V36)&lt;&gt;2,0,U36)</f>
        <v>0</v>
      </c>
      <c r="AS36">
        <f>IF(COUNT(U36:V36)&lt;&gt;2,0,V36)</f>
        <v>0</v>
      </c>
      <c r="AT36">
        <f>IF(COUNT(U36:V36)&lt;&gt;2,0,IF(AR36&gt;AS36,3,IF(AR36&lt;AS36,0,1)))</f>
        <v>0</v>
      </c>
      <c r="AU36">
        <f>IF(COUNT(U36:V36)&lt;&gt;2,0,IF(AR36&lt;AS36,3,IF(AR36&gt;AS36,0,1)))</f>
        <v>0</v>
      </c>
      <c r="AV36">
        <f t="shared" si="26"/>
        <v>0</v>
      </c>
      <c r="AW36">
        <f t="shared" si="27"/>
        <v>0</v>
      </c>
      <c r="AX36" s="15">
        <v>2</v>
      </c>
      <c r="AY36">
        <f>IF(INDEX(BR30:BR33,$AX36)&lt;&gt;INDEX(BR30:BR33,AY$7),0,AY31)</f>
        <v>0</v>
      </c>
      <c r="AZ36">
        <f>IF(INDEX(BR30:BR33,$AX36)&lt;&gt;INDEX(BR30:BR33,AZ$7),0,AZ31)</f>
        <v>0</v>
      </c>
      <c r="BA36">
        <f>IF(INDEX(BR30:BR33,$AX36)&lt;&gt;INDEX(BR30:BR33,BA$7),0,BA31)</f>
        <v>0</v>
      </c>
      <c r="BB36">
        <f>IF(INDEX(BR30:BR33,$AX36)&lt;&gt;INDEX(BR30:BR33,BB$7),0,BB31)</f>
        <v>0</v>
      </c>
      <c r="BC36" s="55">
        <f>SUM(AY36:BB36)</f>
        <v>0</v>
      </c>
      <c r="BE36">
        <f>IF(INDEX(BR30:BR33,$AX36)&lt;&gt;INDEX(BR30:BR33,BE$7),0,BE31)</f>
        <v>0</v>
      </c>
      <c r="BF36">
        <f>IF(INDEX(BR30:BR33,$AX36)&lt;&gt;INDEX(BR30:BR33,BF$7),0,BF31)</f>
        <v>0</v>
      </c>
      <c r="BG36">
        <f>IF(INDEX(BR30:BR33,$AX36)&lt;&gt;INDEX(BR30:BR33,BG$7),0,BG31)</f>
        <v>0</v>
      </c>
      <c r="BH36">
        <f>IF(INDEX(BR30:BR33,$AX36)&lt;&gt;INDEX(BR30:BR33,BH$7),0,BH31)</f>
        <v>0</v>
      </c>
      <c r="BI36" s="55">
        <f>SUM(BE36:BH36)</f>
        <v>0</v>
      </c>
      <c r="BK36">
        <f>IF(INDEX(BR30:BR33,$AX36)&lt;&gt;INDEX(BR30:BR33,BK$7),0,BK31)</f>
        <v>0</v>
      </c>
      <c r="BL36">
        <f>IF(INDEX(BR30:BR33,$AX36)&lt;&gt;INDEX(BR30:BR33,BL$7),0,BL31)</f>
        <v>0</v>
      </c>
      <c r="BM36">
        <f>IF(INDEX(BR30:BR33,$AX36)&lt;&gt;INDEX(BR30:BR33,BM$7),0,BM31)</f>
        <v>0</v>
      </c>
      <c r="BN36">
        <f>IF(INDEX(BR30:BR33,$AX36)&lt;&gt;INDEX(BR30:BR33,BN$7),0,BN31)</f>
        <v>0</v>
      </c>
      <c r="BO36" s="55">
        <f>SUM(BK36:BN36)-BI36</f>
        <v>0</v>
      </c>
      <c r="BR36">
        <f>BC36*10000+BO36*100+BI36</f>
        <v>0</v>
      </c>
      <c r="BT36">
        <f>RANK(BR36,BR35:BR38,2)</f>
        <v>1</v>
      </c>
      <c r="BY36" s="56">
        <v>2</v>
      </c>
      <c r="BZ36" s="47">
        <f>IF(COUNT(CB35:CB38)=4,MATCH(BY36,CB35:CB38,0),MATCH(BY36,CB30:CB33,0))</f>
        <v>2</v>
      </c>
      <c r="CA36" s="47">
        <f>INDEX(BQ30:BQ33,BZ36)</f>
        <v>10</v>
      </c>
      <c r="CB36" s="57"/>
      <c r="CC36" t="s">
        <v>47</v>
      </c>
      <c r="CH36" s="60" t="s">
        <v>23</v>
      </c>
      <c r="CI36" s="60">
        <f>IF(AND(CM31,CM32),IF(CN31&gt;CN32,2,IF(CN31&lt;CN32,1,0)),IF(CM31,1,IF(CM32,2,0)))</f>
        <v>0</v>
      </c>
      <c r="CJ36" s="61">
        <f>IF(CI36=0,0,IF(INDEX(CN31:CN32,CI36)&gt;2,0,CI36))</f>
        <v>0</v>
      </c>
      <c r="CK36" s="58">
        <f>IF(CJ36=0,0,INDEX(AM34:AM35,CJ36))</f>
        <v>0</v>
      </c>
      <c r="CL36" s="58">
        <f>IF(CJ36=0,0,INDEX(AN34:AN35,CJ36))</f>
        <v>0</v>
      </c>
      <c r="CM36" s="59">
        <f>IF(CJ36=0,0,IF(COUNT(U36:V36)&lt;&gt;2,0,U36))</f>
        <v>0</v>
      </c>
      <c r="CN36" s="59">
        <f>IF(CJ36=0,0,IF(COUNT(U36:V36)&lt;&gt;2,0,V36))</f>
        <v>0</v>
      </c>
      <c r="CO36" s="60">
        <f>IF(CJ36=0,0,IF(CM36=CN36,0,IF(CM36&gt;CN36,1,0)))</f>
        <v>0</v>
      </c>
      <c r="CP36" s="60">
        <f>IF(CJ36=0,0,IF(CM36=CN36,0,IF(CM36&gt;CN36,0,1)))</f>
        <v>0</v>
      </c>
      <c r="CY36" s="3"/>
      <c r="CZ36" s="3"/>
      <c r="DA36" s="3"/>
      <c r="DB36" s="3"/>
    </row>
    <row r="37" spans="1:106" ht="15.75" customHeight="1">
      <c r="A37" s="3"/>
      <c r="B37" s="10"/>
      <c r="C37" s="11"/>
      <c r="D37" s="98" t="s">
        <v>53</v>
      </c>
      <c r="E37" s="98"/>
      <c r="F37" s="12"/>
      <c r="G37" s="62">
        <v>13</v>
      </c>
      <c r="H37" s="62"/>
      <c r="I37" s="62"/>
      <c r="J37" s="62"/>
      <c r="K37" s="62"/>
      <c r="L37" s="62"/>
      <c r="M37" s="12"/>
      <c r="N37" s="62">
        <v>14</v>
      </c>
      <c r="O37" s="62"/>
      <c r="P37" s="62"/>
      <c r="Q37" s="63"/>
      <c r="R37" s="62"/>
      <c r="S37" s="62"/>
      <c r="T37" s="62"/>
      <c r="U37" s="283"/>
      <c r="V37" s="284"/>
      <c r="W37" s="63"/>
      <c r="X37" s="12"/>
      <c r="Y37" s="12"/>
      <c r="Z37" s="63"/>
      <c r="AA37" s="63"/>
      <c r="AB37" s="63"/>
      <c r="AC37" s="62"/>
      <c r="AD37" s="63">
        <v>16</v>
      </c>
      <c r="AE37" s="64"/>
      <c r="AF37" s="64"/>
      <c r="AG37" s="64"/>
      <c r="AH37" s="64"/>
      <c r="AI37" s="65"/>
      <c r="AJ37" s="65"/>
      <c r="AK37" s="312"/>
      <c r="AL37" t="s">
        <v>49</v>
      </c>
      <c r="AM37">
        <f>MATCH(AM35,AX30:AX33,0)</f>
        <v>4</v>
      </c>
      <c r="AN37">
        <f>MATCH(AN35,AX30:AX33,0)</f>
        <v>2</v>
      </c>
      <c r="AX37" s="15">
        <v>3</v>
      </c>
      <c r="AY37">
        <f>IF(INDEX(BR30:BR33,$AX37)&lt;&gt;INDEX(BR30:BR33,AY$7),0,AY32)</f>
        <v>0</v>
      </c>
      <c r="AZ37">
        <f>IF(INDEX(BR30:BR33,$AX37)&lt;&gt;INDEX(BR30:BR33,AZ$7),0,AZ32)</f>
        <v>0</v>
      </c>
      <c r="BA37">
        <f>IF(INDEX(BR30:BR33,$AX37)&lt;&gt;INDEX(BR30:BR33,BA$7),0,BA32)</f>
        <v>0</v>
      </c>
      <c r="BB37">
        <f>IF(INDEX(BR30:BR33,$AX37)&lt;&gt;INDEX(BR30:BR33,BB$7),0,BB32)</f>
        <v>0</v>
      </c>
      <c r="BC37" s="55">
        <f>SUM(AY37:BB37)</f>
        <v>0</v>
      </c>
      <c r="BE37">
        <f>IF(INDEX(BR30:BR33,$AX37)&lt;&gt;INDEX(BR30:BR33,BE$7),0,BE32)</f>
        <v>0</v>
      </c>
      <c r="BF37">
        <f>IF(INDEX(BR30:BR33,$AX37)&lt;&gt;INDEX(BR30:BR33,BF$7),0,BF32)</f>
        <v>0</v>
      </c>
      <c r="BG37">
        <f>IF(INDEX(BR30:BR33,$AX37)&lt;&gt;INDEX(BR30:BR33,BG$7),0,BG32)</f>
        <v>0</v>
      </c>
      <c r="BH37">
        <f>IF(INDEX(BR30:BR33,$AX37)&lt;&gt;INDEX(BR30:BR33,BH$7),0,BH32)</f>
        <v>0</v>
      </c>
      <c r="BI37" s="55">
        <f>SUM(BE37:BH37)</f>
        <v>0</v>
      </c>
      <c r="BK37">
        <f>IF(INDEX(BR30:BR33,$AX37)&lt;&gt;INDEX(BR30:BR33,BK$7),0,BK32)</f>
        <v>0</v>
      </c>
      <c r="BL37">
        <f>IF(INDEX(BR30:BR33,$AX37)&lt;&gt;INDEX(BR30:BR33,BL$7),0,BL32)</f>
        <v>0</v>
      </c>
      <c r="BM37">
        <f>IF(INDEX(BR30:BR33,$AX37)&lt;&gt;INDEX(BR30:BR33,BM$7),0,BM32)</f>
        <v>0</v>
      </c>
      <c r="BN37">
        <f>IF(INDEX(BR30:BR33,$AX37)&lt;&gt;INDEX(BR30:BR33,BN$7),0,BN32)</f>
        <v>0</v>
      </c>
      <c r="BO37" s="55">
        <f>SUM(BK37:BN37)-BI37</f>
        <v>0</v>
      </c>
      <c r="BR37">
        <f>BC37*10000+BO37*100+BI37</f>
        <v>0</v>
      </c>
      <c r="BT37">
        <f>RANK(BR37,BR35:BR38,2)</f>
        <v>1</v>
      </c>
      <c r="BY37" s="56">
        <v>3</v>
      </c>
      <c r="BZ37" s="47">
        <f>IF(COUNT(CB35:CB38)=4,MATCH(BY37,CB35:CB38,0),MATCH(BY37,CB30:CB33,0))</f>
        <v>3</v>
      </c>
      <c r="CA37" s="47">
        <f>INDEX(BQ30:BQ33,BZ37)</f>
        <v>11</v>
      </c>
      <c r="CB37" s="57"/>
      <c r="CC37" t="s">
        <v>50</v>
      </c>
      <c r="CK37" s="67">
        <f>IF(CK36=0,"",INDEX(teams,CK36))</f>
      </c>
      <c r="CL37" s="67">
        <f>IF(CL36=0,"",INDEX(teams,CL36))</f>
      </c>
      <c r="CY37" s="3"/>
      <c r="CZ37" s="3"/>
      <c r="DA37" s="3"/>
      <c r="DB37" s="3"/>
    </row>
    <row r="38" spans="1:106" ht="15.75" customHeight="1" hidden="1">
      <c r="A38" s="3"/>
      <c r="B38" s="10"/>
      <c r="C38" s="11"/>
      <c r="D38" s="98"/>
      <c r="E38" s="9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87"/>
      <c r="V38" s="28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5"/>
      <c r="AK38" s="312"/>
      <c r="AX38" s="15">
        <v>4</v>
      </c>
      <c r="AY38">
        <f>IF(INDEX(BR30:BR33,$AX38)&lt;&gt;INDEX(BR30:BR33,AY$7),0,AY33)</f>
        <v>0</v>
      </c>
      <c r="AZ38">
        <f>IF(INDEX(BR30:BR33,$AX38)&lt;&gt;INDEX(BR30:BR33,AZ$7),0,AZ33)</f>
        <v>0</v>
      </c>
      <c r="BA38">
        <f>IF(INDEX(BR30:BR33,$AX38)&lt;&gt;INDEX(BR30:BR33,BA$7),0,BA33)</f>
        <v>0</v>
      </c>
      <c r="BB38">
        <f>IF(INDEX(BR30:BR33,$AX38)&lt;&gt;INDEX(BR30:BR33,BB$7),0,BB33)</f>
        <v>0</v>
      </c>
      <c r="BC38" s="55">
        <f>SUM(AY38:BB38)</f>
        <v>0</v>
      </c>
      <c r="BE38">
        <f>IF(INDEX(BR30:BR33,$AX38)&lt;&gt;INDEX(BR30:BR33,BE$7),0,BE33)</f>
        <v>0</v>
      </c>
      <c r="BF38">
        <f>IF(INDEX(BR30:BR33,$AX38)&lt;&gt;INDEX(BR30:BR33,BF$7),0,BF33)</f>
        <v>0</v>
      </c>
      <c r="BG38">
        <f>IF(INDEX(BR30:BR33,$AX38)&lt;&gt;INDEX(BR30:BR33,BG$7),0,BG33)</f>
        <v>0</v>
      </c>
      <c r="BH38">
        <f>IF(INDEX(BR30:BR33,$AX38)&lt;&gt;INDEX(BR30:BR33,BH$7),0,BH33)</f>
        <v>0</v>
      </c>
      <c r="BI38" s="55">
        <f>SUM(BE38:BH38)</f>
        <v>0</v>
      </c>
      <c r="BK38">
        <f>IF(INDEX(BR30:BR33,$AX38)&lt;&gt;INDEX(BR30:BR33,BK$7),0,BK33)</f>
        <v>0</v>
      </c>
      <c r="BL38">
        <f>IF(INDEX(BR30:BR33,$AX38)&lt;&gt;INDEX(BR30:BR33,BL$7),0,BL33)</f>
        <v>0</v>
      </c>
      <c r="BM38">
        <f>IF(INDEX(BR30:BR33,$AX38)&lt;&gt;INDEX(BR30:BR33,BM$7),0,BM33)</f>
        <v>0</v>
      </c>
      <c r="BN38">
        <f>IF(INDEX(BR30:BR33,$AX38)&lt;&gt;INDEX(BR30:BR33,BN$7),0,BN33)</f>
        <v>0</v>
      </c>
      <c r="BO38" s="55">
        <f>SUM(BK38:BN38)-BI38</f>
        <v>0</v>
      </c>
      <c r="BR38">
        <f>BC38*10000+BO38*100+BI38</f>
        <v>0</v>
      </c>
      <c r="BT38">
        <f>RANK(BR38,BR35:BR38,2)</f>
        <v>1</v>
      </c>
      <c r="BY38" s="56">
        <v>4</v>
      </c>
      <c r="BZ38" s="47">
        <f>IF(COUNT(CB35:CB38)=4,MATCH(BY38,CB35:CB38,0),MATCH(BY38,CB30:CB33,0))</f>
        <v>4</v>
      </c>
      <c r="CA38" s="47">
        <f>INDEX(BQ30:BQ33,BZ38)</f>
        <v>12</v>
      </c>
      <c r="CB38" s="57"/>
      <c r="CC38" t="s">
        <v>51</v>
      </c>
      <c r="CY38" s="3"/>
      <c r="CZ38" s="3"/>
      <c r="DA38" s="3"/>
      <c r="DB38" s="3"/>
    </row>
    <row r="39" spans="1:106" ht="1.5" customHeight="1">
      <c r="A39" s="3"/>
      <c r="B39" s="10"/>
      <c r="C39" s="11"/>
      <c r="D39" s="339"/>
      <c r="E39" s="339"/>
      <c r="F39" s="339"/>
      <c r="G39" s="339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357"/>
      <c r="V39" s="357"/>
      <c r="W39" s="11"/>
      <c r="X39" s="12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12"/>
      <c r="CY39" s="3"/>
      <c r="CZ39" s="3"/>
      <c r="DA39" s="3"/>
      <c r="DB39" s="3"/>
    </row>
    <row r="40" spans="1:106" ht="1.5" customHeight="1" thickBot="1">
      <c r="A40" s="3"/>
      <c r="B40" s="10"/>
      <c r="C40" s="11"/>
      <c r="D40" s="339"/>
      <c r="E40" s="339"/>
      <c r="F40" s="339"/>
      <c r="G40" s="339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358"/>
      <c r="V40" s="358"/>
      <c r="W40" s="11"/>
      <c r="X40" s="12"/>
      <c r="Y40" s="12"/>
      <c r="Z40" s="346" t="str">
        <f>IF(OR(COUNT(W41:X46)=0,NOT($AM$3)),"Aktuelle Tipptabelle",IF(COUNT(W41:X46)=12,"Endtabelle","Tabellenstand"))</f>
        <v>Aktuelle Tipptabelle</v>
      </c>
      <c r="AA40" s="346"/>
      <c r="AB40" s="346"/>
      <c r="AC40" s="346"/>
      <c r="AD40" s="346"/>
      <c r="AE40" s="11"/>
      <c r="AF40" s="325" t="s">
        <v>4</v>
      </c>
      <c r="AG40" s="325" t="s">
        <v>5</v>
      </c>
      <c r="AH40" s="325"/>
      <c r="AI40" s="325" t="s">
        <v>6</v>
      </c>
      <c r="AJ40" s="325" t="s">
        <v>7</v>
      </c>
      <c r="AK40" s="312"/>
      <c r="AL40" t="s">
        <v>8</v>
      </c>
      <c r="AP40" t="s">
        <v>9</v>
      </c>
      <c r="AR40" t="s">
        <v>10</v>
      </c>
      <c r="AS40" t="s">
        <v>11</v>
      </c>
      <c r="AT40" t="s">
        <v>12</v>
      </c>
      <c r="AU40" t="s">
        <v>13</v>
      </c>
      <c r="AV40" t="s">
        <v>14</v>
      </c>
      <c r="AX40" t="s">
        <v>15</v>
      </c>
      <c r="AY40" s="15">
        <f>AX41</f>
        <v>13</v>
      </c>
      <c r="AZ40" s="15">
        <f>AX42</f>
        <v>14</v>
      </c>
      <c r="BA40" s="15">
        <f>AX43</f>
        <v>15</v>
      </c>
      <c r="BB40" s="15">
        <f>AX44</f>
        <v>16</v>
      </c>
      <c r="BD40" t="s">
        <v>16</v>
      </c>
      <c r="BE40" s="15">
        <f>AY40</f>
        <v>13</v>
      </c>
      <c r="BF40" s="15">
        <f>AZ40</f>
        <v>14</v>
      </c>
      <c r="BG40" s="15">
        <f>BA40</f>
        <v>15</v>
      </c>
      <c r="BH40" s="15">
        <f>BB40</f>
        <v>16</v>
      </c>
      <c r="BJ40" t="s">
        <v>17</v>
      </c>
      <c r="BK40" s="15">
        <f>AY40</f>
        <v>13</v>
      </c>
      <c r="BL40" s="15">
        <f>AZ40</f>
        <v>14</v>
      </c>
      <c r="BM40" s="15">
        <f>BA40</f>
        <v>15</v>
      </c>
      <c r="BN40" s="15">
        <f>BB40</f>
        <v>16</v>
      </c>
      <c r="BR40" s="16" t="s">
        <v>7</v>
      </c>
      <c r="BS40" s="16" t="s">
        <v>5</v>
      </c>
      <c r="BT40" s="16" t="s">
        <v>18</v>
      </c>
      <c r="BU40" s="16" t="s">
        <v>19</v>
      </c>
      <c r="BV40" t="s">
        <v>20</v>
      </c>
      <c r="BW40" t="s">
        <v>21</v>
      </c>
      <c r="BX40" s="16" t="s">
        <v>22</v>
      </c>
      <c r="BY40" s="16" t="s">
        <v>23</v>
      </c>
      <c r="BZ40" t="s">
        <v>24</v>
      </c>
      <c r="CA40" t="s">
        <v>21</v>
      </c>
      <c r="CB40" t="s">
        <v>25</v>
      </c>
      <c r="CC40" s="17"/>
      <c r="CD40" s="18" t="s">
        <v>7</v>
      </c>
      <c r="CE40" s="18" t="s">
        <v>26</v>
      </c>
      <c r="CF40" s="18" t="s">
        <v>18</v>
      </c>
      <c r="CG40" s="18" t="s">
        <v>19</v>
      </c>
      <c r="CH40" s="18" t="s">
        <v>27</v>
      </c>
      <c r="CI40" s="19" t="s">
        <v>28</v>
      </c>
      <c r="CY40" s="3"/>
      <c r="CZ40" s="3"/>
      <c r="DA40" s="3"/>
      <c r="DB40" s="3"/>
    </row>
    <row r="41" spans="1:106" ht="12" customHeight="1">
      <c r="A41" s="3"/>
      <c r="B41" s="10"/>
      <c r="C41" s="11"/>
      <c r="D41" s="370" t="s">
        <v>85</v>
      </c>
      <c r="E41" s="371"/>
      <c r="F41" s="371"/>
      <c r="G41" s="371"/>
      <c r="H41" s="371" t="s">
        <v>86</v>
      </c>
      <c r="I41" s="371"/>
      <c r="J41" s="371"/>
      <c r="K41" s="372" t="s">
        <v>215</v>
      </c>
      <c r="L41" s="373"/>
      <c r="M41" s="373"/>
      <c r="N41" s="373"/>
      <c r="O41" s="373"/>
      <c r="P41" s="374" t="s">
        <v>216</v>
      </c>
      <c r="Q41" s="374"/>
      <c r="R41" s="374"/>
      <c r="S41" s="374"/>
      <c r="T41" s="374"/>
      <c r="U41" s="155"/>
      <c r="V41" s="156"/>
      <c r="W41" s="318"/>
      <c r="X41" s="319"/>
      <c r="Y41" s="12"/>
      <c r="Z41" s="347"/>
      <c r="AA41" s="347"/>
      <c r="AB41" s="347"/>
      <c r="AC41" s="347"/>
      <c r="AD41" s="347"/>
      <c r="AE41" s="12"/>
      <c r="AF41" s="360"/>
      <c r="AG41" s="360"/>
      <c r="AH41" s="360"/>
      <c r="AI41" s="325"/>
      <c r="AJ41" s="360"/>
      <c r="AK41" s="312"/>
      <c r="AL41">
        <v>1</v>
      </c>
      <c r="AM41">
        <v>15</v>
      </c>
      <c r="AN41">
        <v>16</v>
      </c>
      <c r="AP41" t="str">
        <f aca="true" t="shared" si="30" ref="AP41:AP46">AM41&amp;"#"&amp;AN41</f>
        <v>15#16</v>
      </c>
      <c r="AQ41" t="str">
        <f aca="true" t="shared" si="31" ref="AQ41:AQ46">AN41&amp;"#"&amp;AM41</f>
        <v>16#15</v>
      </c>
      <c r="AR41">
        <f aca="true" t="shared" si="32" ref="AR41:AR46">IF(COUNT(CU41:CV41)&lt;&gt;2,0,CU41)</f>
        <v>0</v>
      </c>
      <c r="AS41">
        <f aca="true" t="shared" si="33" ref="AS41:AS46">IF(COUNT(CU41:CV41)&lt;&gt;2,0,CV41)</f>
        <v>0</v>
      </c>
      <c r="AT41">
        <f aca="true" t="shared" si="34" ref="AT41:AT46">IF(COUNT(CU41:CV41)&lt;&gt;2,0,IF(AR41&gt;AS41,3,IF(AR41&lt;AS41,0,1)))</f>
        <v>0</v>
      </c>
      <c r="AU41">
        <f aca="true" t="shared" si="35" ref="AU41:AU46">IF(COUNT(CU41:CV41)&lt;&gt;2,0,IF(AR41&lt;AS41,3,IF(AR41&gt;AS41,0,1)))</f>
        <v>0</v>
      </c>
      <c r="AV41">
        <f aca="true" t="shared" si="36" ref="AV41:AV46">IF(SUM(AT41:AU41)&gt;0,AM41,0)</f>
        <v>0</v>
      </c>
      <c r="AW41">
        <f aca="true" t="shared" si="37" ref="AW41:AW46">IF(SUM(AT41:AU41)&gt;0,AN41,0)</f>
        <v>0</v>
      </c>
      <c r="AX41" s="15">
        <f>SMALL(AM41:AN42,1)</f>
        <v>13</v>
      </c>
      <c r="AY41">
        <f>SUMIF(AP41:AQ46,"="&amp;AX41&amp;"#"&amp;AY40,AT41:AU46)</f>
        <v>0</v>
      </c>
      <c r="AZ41">
        <f>SUMIF(AP41:AQ46,"="&amp;AX41&amp;"#"&amp;AZ40,AT41:AU46)</f>
        <v>0</v>
      </c>
      <c r="BA41">
        <f>SUMIF(AP41:AQ46,"="&amp;AX41&amp;"#"&amp;BA40,AT41:AU46)</f>
        <v>0</v>
      </c>
      <c r="BB41">
        <f>SUMIF(AP41:AQ46,"="&amp;AX41&amp;"#"&amp;BB40,AT41:AU46)</f>
        <v>0</v>
      </c>
      <c r="BD41" s="15">
        <f>AX41</f>
        <v>13</v>
      </c>
      <c r="BE41">
        <f>SUMIF(AP41:AQ46,"="&amp;BD41&amp;"#"&amp;BE40,AR41:AS46)</f>
        <v>0</v>
      </c>
      <c r="BF41">
        <f>SUMIF(AP41:AQ46,"="&amp;BD41&amp;"#"&amp;BF40,AR41:AS46)</f>
        <v>0</v>
      </c>
      <c r="BG41">
        <f>SUMIF(AP41:AQ46,"="&amp;BD41&amp;"#"&amp;BG40,AR41:AS46)</f>
        <v>0</v>
      </c>
      <c r="BH41">
        <f>SUMIF(AP41:AQ46,"="&amp;BD41&amp;"#"&amp;BH40,AR41:AS46)</f>
        <v>0</v>
      </c>
      <c r="BJ41" s="15">
        <f>AX41</f>
        <v>13</v>
      </c>
      <c r="BK41">
        <f>SUMIF(AP41:AP46,"="&amp;BD41&amp;"#"&amp;BE40,AS41:AS46)+SUMIF(AQ41:AQ46,"="&amp;BD41&amp;"#"&amp;BE40,AR41:AR46)</f>
        <v>0</v>
      </c>
      <c r="BL41">
        <f>SUMIF(AP41:AP46,"="&amp;BD41&amp;"#"&amp;BF40,AS41:AS46)+SUMIF(AQ41:AQ46,"="&amp;BD41&amp;"#"&amp;BF40,AR41:AR46)</f>
        <v>0</v>
      </c>
      <c r="BM41">
        <f>SUMIF(AP41:AP46,"="&amp;BD41&amp;"#"&amp;BG40,AS41:AS46)+SUMIF(AQ41:AQ46,"="&amp;BD41&amp;"#"&amp;BG40,AR41:AR46)</f>
        <v>0</v>
      </c>
      <c r="BN41">
        <f>SUMIF(AP41:AP46,"="&amp;BD41&amp;"#"&amp;BH40,AS41:AS46)+SUMIF(AQ41:AQ46,"="&amp;BD41&amp;"#"&amp;BH40,AR41:AR46)</f>
        <v>0</v>
      </c>
      <c r="BQ41" s="15">
        <f>AX41</f>
        <v>13</v>
      </c>
      <c r="BR41" s="16">
        <f>SUMIF(AM41:AN46,"="&amp;BQ41,AT41:AU46)</f>
        <v>0</v>
      </c>
      <c r="BS41" s="16">
        <f>SUMIF(AM41:AN46,"="&amp;BQ41,AR41:AS46)</f>
        <v>0</v>
      </c>
      <c r="BT41" s="16">
        <f>SUMIF(AM41:AM46,"="&amp;BQ41,AS41:AS46)+SUMIF(AN41:AN46,"="&amp;BQ41,AR41:AR46)</f>
        <v>0</v>
      </c>
      <c r="BU41" s="16">
        <f>BS41-BT41</f>
        <v>0</v>
      </c>
      <c r="BV41">
        <f>BR41*10000+BU41*100+BS41</f>
        <v>0</v>
      </c>
      <c r="BW41">
        <f>RANK(BV41,BV41:BV44)</f>
        <v>1</v>
      </c>
      <c r="BX41">
        <f>BT46</f>
        <v>1</v>
      </c>
      <c r="BY41">
        <f>SUMIF(CK47:CL47,"="&amp;BQ41,CO47:CP47)</f>
        <v>0</v>
      </c>
      <c r="BZ41" s="16">
        <f>SUMPRODUCT(BR41:BY41,faktoren)</f>
        <v>100</v>
      </c>
      <c r="CA41">
        <f>RANK(BZ41,BZ41:BZ44)</f>
        <v>1</v>
      </c>
      <c r="CB41">
        <f>CA41+COUNTIF(CA40:CA40,"="&amp;CA41)</f>
        <v>1</v>
      </c>
      <c r="CC41" s="21">
        <f>AX41</f>
        <v>13</v>
      </c>
      <c r="CD41" s="16">
        <f>SUMIF(AM41:AN44,"="&amp;CC41,AT41:AU44)</f>
        <v>0</v>
      </c>
      <c r="CE41" s="16">
        <f>SUMIF(AM41:AN44,"="&amp;CC41,AR41:AS44)</f>
        <v>0</v>
      </c>
      <c r="CF41" s="16">
        <f>SUMIF(AM41:AM44,"="&amp;CC41,AS41:AS44)+SUMIF(AN41:AN44,"="&amp;CC41,AR41:AR44)</f>
        <v>0</v>
      </c>
      <c r="CG41" s="16">
        <f>CE41-CF41</f>
        <v>0</v>
      </c>
      <c r="CH41" s="16">
        <f>CD41*10000+CG41*100+CE41</f>
        <v>0</v>
      </c>
      <c r="CI41" s="19" t="s">
        <v>29</v>
      </c>
      <c r="CJ41" s="19" t="s">
        <v>6</v>
      </c>
      <c r="CK41" s="22" t="s">
        <v>30</v>
      </c>
      <c r="CL41" s="22" t="s">
        <v>31</v>
      </c>
      <c r="CM41" s="22" t="s">
        <v>23</v>
      </c>
      <c r="CN41" s="22" t="s">
        <v>21</v>
      </c>
      <c r="CO41" s="19"/>
      <c r="CP41" s="19"/>
      <c r="CU41" s="163">
        <f aca="true" t="shared" si="38" ref="CU41:CU46">IF(OR(NOT($AM$3),COUNT(W41:X41)&lt;&gt;2),IF(COUNT(U41:V41)=2,U41,""),W41)</f>
      </c>
      <c r="CV41" s="164">
        <f aca="true" t="shared" si="39" ref="CV41:CV46">IF(OR(NOT($AM$3),COUNT(W41:X41)&lt;&gt;2),IF(COUNT(U41:V41)=2,V41,""),X41)</f>
      </c>
      <c r="CY41" s="3"/>
      <c r="CZ41" s="3"/>
      <c r="DA41" s="3"/>
      <c r="DB41" s="3"/>
    </row>
    <row r="42" spans="1:106" ht="12" customHeight="1">
      <c r="A42" s="3"/>
      <c r="B42" s="10"/>
      <c r="C42" s="11"/>
      <c r="D42" s="366" t="s">
        <v>87</v>
      </c>
      <c r="E42" s="367"/>
      <c r="F42" s="367"/>
      <c r="G42" s="367"/>
      <c r="H42" s="367" t="s">
        <v>88</v>
      </c>
      <c r="I42" s="367"/>
      <c r="J42" s="367"/>
      <c r="K42" s="368" t="s">
        <v>213</v>
      </c>
      <c r="L42" s="369"/>
      <c r="M42" s="369"/>
      <c r="N42" s="369"/>
      <c r="O42" s="369"/>
      <c r="P42" s="330" t="s">
        <v>214</v>
      </c>
      <c r="Q42" s="330"/>
      <c r="R42" s="330"/>
      <c r="S42" s="330"/>
      <c r="T42" s="330"/>
      <c r="U42" s="157"/>
      <c r="V42" s="158"/>
      <c r="W42" s="320"/>
      <c r="X42" s="321"/>
      <c r="Y42" s="12"/>
      <c r="Z42" s="73">
        <v>1</v>
      </c>
      <c r="AA42" s="356" t="str">
        <f>INDEX(teams_lang,CA46)</f>
        <v>Griechenland</v>
      </c>
      <c r="AB42" s="356"/>
      <c r="AC42" s="356"/>
      <c r="AD42" s="356"/>
      <c r="AE42" s="356"/>
      <c r="AF42" s="74">
        <f>COUNTIF(AV41:AW46,"="&amp;CA46)</f>
        <v>0</v>
      </c>
      <c r="AG42" s="75">
        <f>INDEX(BS41:BS44,BZ46)</f>
        <v>0</v>
      </c>
      <c r="AH42" s="76">
        <f>INDEX(BT41:BT44,BZ46)</f>
        <v>0</v>
      </c>
      <c r="AI42" s="77">
        <f>INDEX(BU41:BU44,BZ46)</f>
        <v>0</v>
      </c>
      <c r="AJ42" s="78">
        <f>INDEX(BR41:BR44,BZ46)</f>
        <v>0</v>
      </c>
      <c r="AK42" s="312"/>
      <c r="AL42">
        <v>2</v>
      </c>
      <c r="AM42">
        <v>13</v>
      </c>
      <c r="AN42">
        <v>14</v>
      </c>
      <c r="AP42" t="str">
        <f t="shared" si="30"/>
        <v>13#14</v>
      </c>
      <c r="AQ42" t="str">
        <f t="shared" si="31"/>
        <v>14#13</v>
      </c>
      <c r="AR42">
        <f t="shared" si="32"/>
        <v>0</v>
      </c>
      <c r="AS42">
        <f t="shared" si="33"/>
        <v>0</v>
      </c>
      <c r="AT42">
        <f t="shared" si="34"/>
        <v>0</v>
      </c>
      <c r="AU42">
        <f t="shared" si="35"/>
        <v>0</v>
      </c>
      <c r="AV42">
        <f t="shared" si="36"/>
        <v>0</v>
      </c>
      <c r="AW42">
        <f t="shared" si="37"/>
        <v>0</v>
      </c>
      <c r="AX42" s="15">
        <f>SMALL(AM41:AN42,2)</f>
        <v>14</v>
      </c>
      <c r="AY42">
        <f>SUMIF(AP41:AQ46,"="&amp;AX42&amp;"#"&amp;AY40,AT41:AU46)</f>
        <v>0</v>
      </c>
      <c r="AZ42">
        <f>SUMIF(AP41:AQ46,"="&amp;AX42&amp;"#"&amp;AZ40,AT41:AU46)</f>
        <v>0</v>
      </c>
      <c r="BA42">
        <f>SUMIF(AP41:AQ46,"="&amp;AX42&amp;"#"&amp;BA40,AT41:AU46)</f>
        <v>0</v>
      </c>
      <c r="BB42">
        <f>SUMIF(AP41:AQ46,"="&amp;AX42&amp;"#"&amp;BB40,AT41:AU46)</f>
        <v>0</v>
      </c>
      <c r="BD42" s="15">
        <f>AX42</f>
        <v>14</v>
      </c>
      <c r="BE42">
        <f>SUMIF(AP41:AQ46,"="&amp;BD42&amp;"#"&amp;BE40,AR41:AS46)</f>
        <v>0</v>
      </c>
      <c r="BF42">
        <f>SUMIF(AP41:AQ46,"="&amp;BD42&amp;"#"&amp;BF40,AR41:AS46)</f>
        <v>0</v>
      </c>
      <c r="BG42">
        <f>SUMIF(AP41:AQ46,"="&amp;BD42&amp;"#"&amp;BG40,AR41:AS46)</f>
        <v>0</v>
      </c>
      <c r="BH42">
        <f>SUMIF(AP41:AQ46,"="&amp;BD42&amp;"#"&amp;BH40,AR41:AS46)</f>
        <v>0</v>
      </c>
      <c r="BJ42" s="15">
        <f>AX42</f>
        <v>14</v>
      </c>
      <c r="BK42">
        <f>SUMIF(AP41:AP46,"="&amp;BD42&amp;"#"&amp;BE40,AS41:AS46)+SUMIF(AQ41:AQ46,"="&amp;BD42&amp;"#"&amp;BE40,AR41:AR46)</f>
        <v>0</v>
      </c>
      <c r="BL42">
        <f>SUMIF(AP41:AP46,"="&amp;BD42&amp;"#"&amp;BF40,AS41:AS46)+SUMIF(AQ41:AQ46,"="&amp;BD42&amp;"#"&amp;BF40,AR41:AR46)</f>
        <v>0</v>
      </c>
      <c r="BM42">
        <f>SUMIF(AP41:AP46,"="&amp;BD42&amp;"#"&amp;BG40,AS41:AS46)+SUMIF(AQ41:AQ46,"="&amp;BD42&amp;"#"&amp;BG40,AR41:AR46)</f>
        <v>0</v>
      </c>
      <c r="BN42">
        <f>SUMIF(AP41:AP46,"="&amp;BD42&amp;"#"&amp;BH40,AS41:AS46)+SUMIF(AQ41:AQ46,"="&amp;BD42&amp;"#"&amp;BH40,AR41:AR46)</f>
        <v>0</v>
      </c>
      <c r="BQ42" s="15">
        <f>AX42</f>
        <v>14</v>
      </c>
      <c r="BR42" s="16">
        <f>SUMIF(AM41:AN46,"="&amp;BQ42,AT41:AU46)</f>
        <v>0</v>
      </c>
      <c r="BS42" s="16">
        <f>SUMIF(AM41:AN46,"="&amp;BQ42,AR41:AS46)</f>
        <v>0</v>
      </c>
      <c r="BT42" s="16">
        <f>SUMIF(AM41:AM46,"="&amp;BQ42,AS41:AS46)+SUMIF(AN41:AN46,"="&amp;BQ42,AR41:AR46)</f>
        <v>0</v>
      </c>
      <c r="BU42" s="16">
        <f>BS42-BT42</f>
        <v>0</v>
      </c>
      <c r="BV42">
        <f>BR42*10000+BU42*100+BS42</f>
        <v>0</v>
      </c>
      <c r="BW42">
        <f>RANK(BV42,BV41:BV44)</f>
        <v>1</v>
      </c>
      <c r="BX42">
        <f>BT47</f>
        <v>1</v>
      </c>
      <c r="BY42">
        <f>SUMIF(CK47:CL47,"="&amp;BQ42,CO47:CP47)</f>
        <v>0</v>
      </c>
      <c r="BZ42" s="16">
        <f>SUMPRODUCT(BR42:BY42,faktoren)</f>
        <v>100</v>
      </c>
      <c r="CA42">
        <f>RANK(BZ42,BZ41:BZ44)</f>
        <v>1</v>
      </c>
      <c r="CB42">
        <f>CA42+COUNTIF(CA40:CA41,"="&amp;CA42)</f>
        <v>2</v>
      </c>
      <c r="CC42" s="21">
        <f>AX42</f>
        <v>14</v>
      </c>
      <c r="CD42" s="16">
        <f>SUMIF(AM41:AN44,"="&amp;CC42,AT41:AU44)</f>
        <v>0</v>
      </c>
      <c r="CE42" s="16">
        <f>SUMIF(AM41:AN44,"="&amp;CC42,AR41:AS44)</f>
        <v>0</v>
      </c>
      <c r="CF42" s="16">
        <f>SUMIF(AM41:AM44,"="&amp;CC42,AS41:AS44)+SUMIF(AN41:AN44,"="&amp;CC42,AR41:AR44)</f>
        <v>0</v>
      </c>
      <c r="CG42" s="16">
        <f>CE42-CF42</f>
        <v>0</v>
      </c>
      <c r="CH42" s="16">
        <f>CD42*10000+CG42*100+CE42</f>
        <v>0</v>
      </c>
      <c r="CI42" s="19">
        <v>1</v>
      </c>
      <c r="CJ42" s="22">
        <f>INDEX(CH41:CH44,AM47)-INDEX(CH41:CH44,AN47)</f>
        <v>0</v>
      </c>
      <c r="CK42" s="22" t="b">
        <f>CJ42=0</f>
        <v>1</v>
      </c>
      <c r="CL42" s="22" t="b">
        <f>AND(AT45=1,AU45=1)</f>
        <v>0</v>
      </c>
      <c r="CM42" s="22" t="b">
        <f>AND(CK42,CL42,COUNTIF(BV41:BV44,"="&amp;INDEX(BV41:BV44,AM47))=2)</f>
        <v>0</v>
      </c>
      <c r="CN42" s="19">
        <f>INDEX(BW41:BW44,AM47)</f>
        <v>1</v>
      </c>
      <c r="CO42" s="19"/>
      <c r="CP42" s="19"/>
      <c r="CU42" s="165">
        <f t="shared" si="38"/>
      </c>
      <c r="CV42" s="166">
        <f t="shared" si="39"/>
      </c>
      <c r="CY42" s="3"/>
      <c r="CZ42" s="3"/>
      <c r="DA42" s="3"/>
      <c r="DB42" s="3"/>
    </row>
    <row r="43" spans="1:106" ht="12" customHeight="1">
      <c r="A43" s="3"/>
      <c r="B43" s="10"/>
      <c r="C43" s="11"/>
      <c r="D43" s="366" t="s">
        <v>89</v>
      </c>
      <c r="E43" s="367"/>
      <c r="F43" s="367"/>
      <c r="G43" s="367"/>
      <c r="H43" s="367" t="s">
        <v>86</v>
      </c>
      <c r="I43" s="367"/>
      <c r="J43" s="367"/>
      <c r="K43" s="368" t="s">
        <v>214</v>
      </c>
      <c r="L43" s="369"/>
      <c r="M43" s="369"/>
      <c r="N43" s="369"/>
      <c r="O43" s="369"/>
      <c r="P43" s="330" t="s">
        <v>215</v>
      </c>
      <c r="Q43" s="330"/>
      <c r="R43" s="330"/>
      <c r="S43" s="330"/>
      <c r="T43" s="330"/>
      <c r="U43" s="157"/>
      <c r="V43" s="158"/>
      <c r="W43" s="320"/>
      <c r="X43" s="321"/>
      <c r="Y43" s="12"/>
      <c r="Z43" s="79">
        <v>2</v>
      </c>
      <c r="AA43" s="355" t="str">
        <f>INDEX(teams_lang,CA47)</f>
        <v>Schweden</v>
      </c>
      <c r="AB43" s="355"/>
      <c r="AC43" s="355"/>
      <c r="AD43" s="355"/>
      <c r="AE43" s="355"/>
      <c r="AF43" s="80">
        <f>COUNTIF(AV41:AW46,"="&amp;CA47)</f>
        <v>0</v>
      </c>
      <c r="AG43" s="81">
        <f>INDEX(BS41:BS44,BZ47)</f>
        <v>0</v>
      </c>
      <c r="AH43" s="82">
        <f>INDEX(BT41:BT44,BZ47)</f>
        <v>0</v>
      </c>
      <c r="AI43" s="83">
        <f>INDEX(BU41:BU44,BZ47)</f>
        <v>0</v>
      </c>
      <c r="AJ43" s="84">
        <f>INDEX(BR41:BR44,BZ47)</f>
        <v>0</v>
      </c>
      <c r="AK43" s="312"/>
      <c r="AL43">
        <v>3</v>
      </c>
      <c r="AM43">
        <v>14</v>
      </c>
      <c r="AN43">
        <v>15</v>
      </c>
      <c r="AP43" t="str">
        <f t="shared" si="30"/>
        <v>14#15</v>
      </c>
      <c r="AQ43" t="str">
        <f t="shared" si="31"/>
        <v>15#14</v>
      </c>
      <c r="AR43">
        <f t="shared" si="32"/>
        <v>0</v>
      </c>
      <c r="AS43">
        <f t="shared" si="33"/>
        <v>0</v>
      </c>
      <c r="AT43">
        <f t="shared" si="34"/>
        <v>0</v>
      </c>
      <c r="AU43">
        <f t="shared" si="35"/>
        <v>0</v>
      </c>
      <c r="AV43">
        <f t="shared" si="36"/>
        <v>0</v>
      </c>
      <c r="AW43">
        <f t="shared" si="37"/>
        <v>0</v>
      </c>
      <c r="AX43" s="15">
        <f>SMALL(AM41:AN42,3)</f>
        <v>15</v>
      </c>
      <c r="AY43">
        <f>SUMIF(AP41:AQ46,"="&amp;AX43&amp;"#"&amp;AY40,AT41:AU46)</f>
        <v>0</v>
      </c>
      <c r="AZ43">
        <f>SUMIF(AP41:AQ46,"="&amp;AX43&amp;"#"&amp;AZ40,AT41:AU46)</f>
        <v>0</v>
      </c>
      <c r="BA43">
        <f>SUMIF(AP41:AQ46,"="&amp;AX43&amp;"#"&amp;BA40,AT41:AU46)</f>
        <v>0</v>
      </c>
      <c r="BB43">
        <f>SUMIF(AP41:AQ46,"="&amp;AX43&amp;"#"&amp;BB40,AT41:AU46)</f>
        <v>0</v>
      </c>
      <c r="BD43" s="15">
        <f>AX43</f>
        <v>15</v>
      </c>
      <c r="BE43">
        <f>SUMIF(AP41:AQ46,"="&amp;BD43&amp;"#"&amp;BE40,AR41:AS46)</f>
        <v>0</v>
      </c>
      <c r="BF43">
        <f>SUMIF(AP41:AQ46,"="&amp;BD43&amp;"#"&amp;BF40,AR41:AS46)</f>
        <v>0</v>
      </c>
      <c r="BG43">
        <f>SUMIF(AP41:AQ46,"="&amp;BD43&amp;"#"&amp;BG40,AR41:AS46)</f>
        <v>0</v>
      </c>
      <c r="BH43">
        <f>SUMIF(AP41:AQ46,"="&amp;BD43&amp;"#"&amp;BH40,AR41:AS46)</f>
        <v>0</v>
      </c>
      <c r="BJ43" s="15">
        <f>AX43</f>
        <v>15</v>
      </c>
      <c r="BK43">
        <f>SUMIF(AP41:AP46,"="&amp;BD43&amp;"#"&amp;BE40,AS41:AS46)+SUMIF(AQ41:AQ46,"="&amp;BD43&amp;"#"&amp;BE40,AR41:AR46)</f>
        <v>0</v>
      </c>
      <c r="BL43">
        <f>SUMIF(AP41:AP46,"="&amp;BD43&amp;"#"&amp;BF40,AS41:AS46)+SUMIF(AQ41:AQ46,"="&amp;BD43&amp;"#"&amp;BF40,AR41:AR46)</f>
        <v>0</v>
      </c>
      <c r="BM43">
        <f>SUMIF(AP41:AP46,"="&amp;BD43&amp;"#"&amp;BG40,AS41:AS46)+SUMIF(AQ41:AQ46,"="&amp;BD43&amp;"#"&amp;BG40,AR41:AR46)</f>
        <v>0</v>
      </c>
      <c r="BN43">
        <f>SUMIF(AP41:AP46,"="&amp;BD43&amp;"#"&amp;BH40,AS41:AS46)+SUMIF(AQ41:AQ46,"="&amp;BD43&amp;"#"&amp;BH40,AR41:AR46)</f>
        <v>0</v>
      </c>
      <c r="BQ43" s="15">
        <f>AX43</f>
        <v>15</v>
      </c>
      <c r="BR43" s="16">
        <f>SUMIF(AM41:AN46,"="&amp;BQ43,AT41:AU46)</f>
        <v>0</v>
      </c>
      <c r="BS43" s="16">
        <f>SUMIF(AM41:AN46,"="&amp;BQ43,AR41:AS46)</f>
        <v>0</v>
      </c>
      <c r="BT43" s="16">
        <f>SUMIF(AM41:AM46,"="&amp;BQ43,AS41:AS46)+SUMIF(AN41:AN46,"="&amp;BQ43,AR41:AR46)</f>
        <v>0</v>
      </c>
      <c r="BU43" s="16">
        <f>BS43-BT43</f>
        <v>0</v>
      </c>
      <c r="BV43">
        <f>BR43*10000+BU43*100+BS43</f>
        <v>0</v>
      </c>
      <c r="BW43">
        <f>RANK(BV43,BV41:BV44)</f>
        <v>1</v>
      </c>
      <c r="BX43">
        <f>BT48</f>
        <v>1</v>
      </c>
      <c r="BY43">
        <f>SUMIF(CK47:CL47,"="&amp;BQ43,CO47:CP47)</f>
        <v>0</v>
      </c>
      <c r="BZ43" s="16">
        <f>SUMPRODUCT(BR43:BY43,faktoren)</f>
        <v>100</v>
      </c>
      <c r="CA43">
        <f>RANK(BZ43,BZ41:BZ44)</f>
        <v>1</v>
      </c>
      <c r="CB43">
        <f>CA43+COUNTIF(CA40:CA42,"="&amp;CA43)</f>
        <v>3</v>
      </c>
      <c r="CC43" s="21">
        <f>AX43</f>
        <v>15</v>
      </c>
      <c r="CD43" s="16">
        <f>SUMIF(AM41:AN44,"="&amp;CC43,AT41:AU44)</f>
        <v>0</v>
      </c>
      <c r="CE43" s="16">
        <f>SUMIF(AM41:AN44,"="&amp;CC43,AR41:AS44)</f>
        <v>0</v>
      </c>
      <c r="CF43" s="16">
        <f>SUMIF(AM41:AM44,"="&amp;CC43,AS41:AS44)+SUMIF(AN41:AN44,"="&amp;CC43,AR41:AR44)</f>
        <v>0</v>
      </c>
      <c r="CG43" s="16">
        <f>CE43-CF43</f>
        <v>0</v>
      </c>
      <c r="CH43" s="16">
        <f>CD43*10000+CG43*100+CE43</f>
        <v>0</v>
      </c>
      <c r="CI43" s="19">
        <v>2</v>
      </c>
      <c r="CJ43" s="22">
        <f>INDEX(CH41:CH44,AM48)-INDEX(CH41:CH44,AN48)</f>
        <v>0</v>
      </c>
      <c r="CK43" s="22" t="b">
        <f>CJ43=0</f>
        <v>1</v>
      </c>
      <c r="CL43" s="22" t="b">
        <f>AND(AT46=1,AU46=1)</f>
        <v>0</v>
      </c>
      <c r="CM43" s="22" t="b">
        <f>AND(CK43,CL43,COUNTIF(BV41:BV44,"="&amp;INDEX(BV41:BV44,AM48))=2)</f>
        <v>0</v>
      </c>
      <c r="CN43" s="19">
        <f>INDEX(BW41:BW44,AM48)</f>
        <v>1</v>
      </c>
      <c r="CO43" s="19"/>
      <c r="CP43" s="19"/>
      <c r="CU43" s="165">
        <f t="shared" si="38"/>
      </c>
      <c r="CV43" s="166">
        <f t="shared" si="39"/>
      </c>
      <c r="CY43" s="3"/>
      <c r="CZ43" s="3"/>
      <c r="DA43" s="3"/>
      <c r="DB43" s="3"/>
    </row>
    <row r="44" spans="1:106" ht="12" customHeight="1">
      <c r="A44" s="3"/>
      <c r="B44" s="10"/>
      <c r="C44" s="11"/>
      <c r="D44" s="366" t="s">
        <v>90</v>
      </c>
      <c r="E44" s="367"/>
      <c r="F44" s="367"/>
      <c r="G44" s="367"/>
      <c r="H44" s="367" t="s">
        <v>88</v>
      </c>
      <c r="I44" s="367"/>
      <c r="J44" s="367"/>
      <c r="K44" s="368" t="s">
        <v>213</v>
      </c>
      <c r="L44" s="369"/>
      <c r="M44" s="369"/>
      <c r="N44" s="369"/>
      <c r="O44" s="369"/>
      <c r="P44" s="330" t="s">
        <v>216</v>
      </c>
      <c r="Q44" s="330"/>
      <c r="R44" s="330"/>
      <c r="S44" s="330"/>
      <c r="T44" s="330"/>
      <c r="U44" s="157"/>
      <c r="V44" s="158"/>
      <c r="W44" s="320"/>
      <c r="X44" s="321"/>
      <c r="Y44" s="12"/>
      <c r="Z44" s="35"/>
      <c r="AA44" s="35"/>
      <c r="AB44" s="35"/>
      <c r="AC44" s="36"/>
      <c r="AD44" s="37"/>
      <c r="AE44" s="37"/>
      <c r="AF44" s="35"/>
      <c r="AG44" s="38"/>
      <c r="AH44" s="39"/>
      <c r="AI44" s="35"/>
      <c r="AJ44" s="35"/>
      <c r="AK44" s="312"/>
      <c r="AL44">
        <v>4</v>
      </c>
      <c r="AM44">
        <v>13</v>
      </c>
      <c r="AN44">
        <v>16</v>
      </c>
      <c r="AP44" t="str">
        <f t="shared" si="30"/>
        <v>13#16</v>
      </c>
      <c r="AQ44" t="str">
        <f t="shared" si="31"/>
        <v>16#13</v>
      </c>
      <c r="AR44">
        <f t="shared" si="32"/>
        <v>0</v>
      </c>
      <c r="AS44">
        <f t="shared" si="33"/>
        <v>0</v>
      </c>
      <c r="AT44">
        <f t="shared" si="34"/>
        <v>0</v>
      </c>
      <c r="AU44">
        <f t="shared" si="35"/>
        <v>0</v>
      </c>
      <c r="AV44">
        <f t="shared" si="36"/>
        <v>0</v>
      </c>
      <c r="AW44">
        <f t="shared" si="37"/>
        <v>0</v>
      </c>
      <c r="AX44" s="15">
        <f>SMALL(AM41:AN42,4)</f>
        <v>16</v>
      </c>
      <c r="AY44">
        <f>SUMIF(AP41:AQ46,"="&amp;AX44&amp;"#"&amp;AY40,AT41:AU46)</f>
        <v>0</v>
      </c>
      <c r="AZ44">
        <f>SUMIF(AP41:AQ46,"="&amp;AX44&amp;"#"&amp;AZ40,AT41:AU46)</f>
        <v>0</v>
      </c>
      <c r="BA44">
        <f>SUMIF(AP41:AQ46,"="&amp;AX44&amp;"#"&amp;BA40,AT41:AU46)</f>
        <v>0</v>
      </c>
      <c r="BB44">
        <f>SUMIF(AP41:AQ46,"="&amp;AX44&amp;"#"&amp;BB40,AT41:AU46)</f>
        <v>0</v>
      </c>
      <c r="BD44" s="15">
        <f>AX44</f>
        <v>16</v>
      </c>
      <c r="BE44">
        <f>SUMIF(AP41:AQ46,"="&amp;BD44&amp;"#"&amp;BE40,AR41:AS46)</f>
        <v>0</v>
      </c>
      <c r="BF44">
        <f>SUMIF(AP41:AQ46,"="&amp;BD44&amp;"#"&amp;BF40,AR41:AS46)</f>
        <v>0</v>
      </c>
      <c r="BG44">
        <f>SUMIF(AP41:AQ46,"="&amp;BD44&amp;"#"&amp;BG40,AR41:AS46)</f>
        <v>0</v>
      </c>
      <c r="BH44">
        <f>SUMIF(AP41:AQ46,"="&amp;BD44&amp;"#"&amp;BH40,AR41:AS46)</f>
        <v>0</v>
      </c>
      <c r="BJ44" s="15">
        <f>AX44</f>
        <v>16</v>
      </c>
      <c r="BK44">
        <f>SUMIF(AP41:AP46,"="&amp;BD44&amp;"#"&amp;BE40,AS41:AS46)+SUMIF(AQ41:AQ46,"="&amp;BD44&amp;"#"&amp;BE40,AR41:AR46)</f>
        <v>0</v>
      </c>
      <c r="BL44">
        <f>SUMIF(AP41:AP46,"="&amp;BD44&amp;"#"&amp;BF40,AS41:AS46)+SUMIF(AQ41:AQ46,"="&amp;BD44&amp;"#"&amp;BF40,AR41:AR46)</f>
        <v>0</v>
      </c>
      <c r="BM44">
        <f>SUMIF(AP41:AP46,"="&amp;BD44&amp;"#"&amp;BG40,AS41:AS46)+SUMIF(AQ41:AQ46,"="&amp;BD44&amp;"#"&amp;BG40,AR41:AR46)</f>
        <v>0</v>
      </c>
      <c r="BN44">
        <f>SUMIF(AP41:AP46,"="&amp;BD44&amp;"#"&amp;BH40,AS41:AS46)+SUMIF(AQ41:AQ46,"="&amp;BD44&amp;"#"&amp;BH40,AR41:AR46)</f>
        <v>0</v>
      </c>
      <c r="BQ44" s="15">
        <f>AX44</f>
        <v>16</v>
      </c>
      <c r="BR44" s="16">
        <f>SUMIF(AM41:AN46,"="&amp;BQ44,AT41:AU46)</f>
        <v>0</v>
      </c>
      <c r="BS44" s="16">
        <f>SUMIF(AM41:AN46,"="&amp;BQ44,AR41:AS46)</f>
        <v>0</v>
      </c>
      <c r="BT44" s="16">
        <f>SUMIF(AM41:AM46,"="&amp;BQ44,AS41:AS46)+SUMIF(AN41:AN46,"="&amp;BQ44,AR41:AR46)</f>
        <v>0</v>
      </c>
      <c r="BU44" s="16">
        <f>BS44-BT44</f>
        <v>0</v>
      </c>
      <c r="BV44">
        <f>BR44*10000+BU44*100+BS44</f>
        <v>0</v>
      </c>
      <c r="BW44">
        <f>RANK(BV44,BV41:BV44)</f>
        <v>1</v>
      </c>
      <c r="BX44">
        <f>BT49</f>
        <v>1</v>
      </c>
      <c r="BY44">
        <f>SUMIF(CK47:CL47,"="&amp;BQ44,CO47:CP47)</f>
        <v>0</v>
      </c>
      <c r="BZ44" s="16">
        <f>SUMPRODUCT(BR44:BY44,faktoren)</f>
        <v>100</v>
      </c>
      <c r="CA44">
        <f>RANK(BZ44,BZ41:BZ44)</f>
        <v>1</v>
      </c>
      <c r="CB44">
        <f>CA44+COUNTIF(CA40:CA43,"="&amp;CA44)</f>
        <v>4</v>
      </c>
      <c r="CC44" s="21">
        <f>AX44</f>
        <v>16</v>
      </c>
      <c r="CD44" s="16">
        <f>SUMIF(AM41:AN44,"="&amp;CC44,AT41:AU44)</f>
        <v>0</v>
      </c>
      <c r="CE44" s="16">
        <f>SUMIF(AM41:AN44,"="&amp;CC44,AR41:AS44)</f>
        <v>0</v>
      </c>
      <c r="CF44" s="16">
        <f>SUMIF(AM41:AM44,"="&amp;CC44,AS41:AS44)+SUMIF(AN41:AN44,"="&amp;CC44,AR41:AR44)</f>
        <v>0</v>
      </c>
      <c r="CG44" s="16">
        <f>CE44-CF44</f>
        <v>0</v>
      </c>
      <c r="CH44" s="16">
        <f>CD44*10000+CG44*100+CE44</f>
        <v>0</v>
      </c>
      <c r="CU44" s="165">
        <f t="shared" si="38"/>
      </c>
      <c r="CV44" s="166">
        <f t="shared" si="39"/>
      </c>
      <c r="CY44" s="3"/>
      <c r="CZ44" s="3"/>
      <c r="DA44" s="3"/>
      <c r="DB44" s="3"/>
    </row>
    <row r="45" spans="1:106" ht="12" customHeight="1">
      <c r="A45" s="3"/>
      <c r="B45" s="10"/>
      <c r="C45" s="11"/>
      <c r="D45" s="366" t="s">
        <v>91</v>
      </c>
      <c r="E45" s="367"/>
      <c r="F45" s="367"/>
      <c r="G45" s="367"/>
      <c r="H45" s="367" t="s">
        <v>88</v>
      </c>
      <c r="I45" s="367"/>
      <c r="J45" s="367"/>
      <c r="K45" s="368" t="s">
        <v>213</v>
      </c>
      <c r="L45" s="369"/>
      <c r="M45" s="369"/>
      <c r="N45" s="369"/>
      <c r="O45" s="369"/>
      <c r="P45" s="330" t="s">
        <v>215</v>
      </c>
      <c r="Q45" s="330"/>
      <c r="R45" s="330"/>
      <c r="S45" s="330"/>
      <c r="T45" s="330"/>
      <c r="U45" s="157"/>
      <c r="V45" s="158"/>
      <c r="W45" s="320"/>
      <c r="X45" s="321"/>
      <c r="Y45" s="12"/>
      <c r="Z45" s="40">
        <v>3</v>
      </c>
      <c r="AA45" s="345" t="str">
        <f>INDEX(teams_lang,CA48)</f>
        <v>Spanien</v>
      </c>
      <c r="AB45" s="345"/>
      <c r="AC45" s="345"/>
      <c r="AD45" s="345"/>
      <c r="AE45" s="345"/>
      <c r="AF45" s="41">
        <f>COUNTIF(AV41:AW46,"="&amp;CA48)</f>
        <v>0</v>
      </c>
      <c r="AG45" s="42">
        <f>INDEX(BS41:BS44,BZ48)</f>
        <v>0</v>
      </c>
      <c r="AH45" s="43">
        <f>INDEX(BT41:BT44,BZ48)</f>
        <v>0</v>
      </c>
      <c r="AI45" s="44">
        <f>INDEX(BU41:BU44,BZ48)</f>
        <v>0</v>
      </c>
      <c r="AJ45" s="45">
        <f>INDEX(BR41:BR44,BZ48)</f>
        <v>0</v>
      </c>
      <c r="AK45" s="312"/>
      <c r="AL45">
        <v>5</v>
      </c>
      <c r="AM45">
        <v>13</v>
      </c>
      <c r="AN45">
        <v>15</v>
      </c>
      <c r="AP45" t="str">
        <f t="shared" si="30"/>
        <v>13#15</v>
      </c>
      <c r="AQ45" t="str">
        <f t="shared" si="31"/>
        <v>15#13</v>
      </c>
      <c r="AR45">
        <f t="shared" si="32"/>
        <v>0</v>
      </c>
      <c r="AS45">
        <f t="shared" si="33"/>
        <v>0</v>
      </c>
      <c r="AT45">
        <f t="shared" si="34"/>
        <v>0</v>
      </c>
      <c r="AU45">
        <f t="shared" si="35"/>
        <v>0</v>
      </c>
      <c r="AV45">
        <f t="shared" si="36"/>
        <v>0</v>
      </c>
      <c r="AW45">
        <f t="shared" si="37"/>
        <v>0</v>
      </c>
      <c r="BC45" t="s">
        <v>32</v>
      </c>
      <c r="BI45" t="s">
        <v>33</v>
      </c>
      <c r="BO45" t="s">
        <v>34</v>
      </c>
      <c r="BR45" t="s">
        <v>35</v>
      </c>
      <c r="BT45" t="s">
        <v>36</v>
      </c>
      <c r="BY45" s="46" t="s">
        <v>37</v>
      </c>
      <c r="BZ45" s="47" t="s">
        <v>29</v>
      </c>
      <c r="CA45" s="47" t="s">
        <v>38</v>
      </c>
      <c r="CB45" s="48" t="s">
        <v>39</v>
      </c>
      <c r="CC45" s="21" t="b">
        <f>COUNT(CB46:CB49)=4</f>
        <v>0</v>
      </c>
      <c r="CU45" s="165">
        <f t="shared" si="38"/>
      </c>
      <c r="CV45" s="166">
        <f t="shared" si="39"/>
      </c>
      <c r="CY45" s="3"/>
      <c r="CZ45" s="3"/>
      <c r="DA45" s="3"/>
      <c r="DB45" s="3"/>
    </row>
    <row r="46" spans="1:106" ht="12" customHeight="1" thickBot="1">
      <c r="A46" s="3"/>
      <c r="B46" s="10"/>
      <c r="C46" s="11"/>
      <c r="D46" s="361" t="s">
        <v>91</v>
      </c>
      <c r="E46" s="362"/>
      <c r="F46" s="362"/>
      <c r="G46" s="362"/>
      <c r="H46" s="362" t="s">
        <v>86</v>
      </c>
      <c r="I46" s="362"/>
      <c r="J46" s="362"/>
      <c r="K46" s="363" t="s">
        <v>216</v>
      </c>
      <c r="L46" s="364"/>
      <c r="M46" s="364"/>
      <c r="N46" s="364"/>
      <c r="O46" s="364"/>
      <c r="P46" s="365" t="s">
        <v>214</v>
      </c>
      <c r="Q46" s="365"/>
      <c r="R46" s="365"/>
      <c r="S46" s="365"/>
      <c r="T46" s="365"/>
      <c r="U46" s="159"/>
      <c r="V46" s="160"/>
      <c r="W46" s="322"/>
      <c r="X46" s="323"/>
      <c r="Y46" s="12"/>
      <c r="Z46" s="49">
        <v>4</v>
      </c>
      <c r="AA46" s="326" t="str">
        <f>INDEX(teams_lang,CA49)</f>
        <v>Russland</v>
      </c>
      <c r="AB46" s="326"/>
      <c r="AC46" s="326"/>
      <c r="AD46" s="326"/>
      <c r="AE46" s="326"/>
      <c r="AF46" s="50">
        <f>COUNTIF(AV41:AW46,"="&amp;CA49)</f>
        <v>0</v>
      </c>
      <c r="AG46" s="51">
        <f>INDEX(BS41:BS44,BZ49)</f>
        <v>0</v>
      </c>
      <c r="AH46" s="52">
        <f>INDEX(BT41:BT44,BZ49)</f>
        <v>0</v>
      </c>
      <c r="AI46" s="53">
        <f>INDEX(BU41:BU44,BZ49)</f>
        <v>0</v>
      </c>
      <c r="AJ46" s="54">
        <f>INDEX(BR41:BR44,BZ49)</f>
        <v>0</v>
      </c>
      <c r="AK46" s="312"/>
      <c r="AL46">
        <v>6</v>
      </c>
      <c r="AM46">
        <v>16</v>
      </c>
      <c r="AN46">
        <v>14</v>
      </c>
      <c r="AP46" t="str">
        <f t="shared" si="30"/>
        <v>16#14</v>
      </c>
      <c r="AQ46" t="str">
        <f t="shared" si="31"/>
        <v>14#16</v>
      </c>
      <c r="AR46">
        <f t="shared" si="32"/>
        <v>0</v>
      </c>
      <c r="AS46">
        <f t="shared" si="33"/>
        <v>0</v>
      </c>
      <c r="AT46">
        <f t="shared" si="34"/>
        <v>0</v>
      </c>
      <c r="AU46">
        <f t="shared" si="35"/>
        <v>0</v>
      </c>
      <c r="AV46">
        <f t="shared" si="36"/>
        <v>0</v>
      </c>
      <c r="AW46">
        <f t="shared" si="37"/>
        <v>0</v>
      </c>
      <c r="AX46" s="15">
        <v>1</v>
      </c>
      <c r="AY46">
        <f>IF(INDEX(BR41:BR44,$AX46)&lt;&gt;INDEX(BR41:BR44,AY$7),0,AY41)</f>
        <v>0</v>
      </c>
      <c r="AZ46">
        <f>IF(INDEX(BR41:BR44,$AX46)&lt;&gt;INDEX(BR41:BR44,AZ$7),0,AZ41)</f>
        <v>0</v>
      </c>
      <c r="BA46">
        <f>IF(INDEX(BR41:BR44,$AX46)&lt;&gt;INDEX(BR41:BR44,BA$7),0,BA41)</f>
        <v>0</v>
      </c>
      <c r="BB46">
        <f>IF(INDEX(BR41:BR44,$AX46)&lt;&gt;INDEX(BR41:BR44,BB$7),0,BB41)</f>
        <v>0</v>
      </c>
      <c r="BC46" s="55">
        <f>SUM(AY46:BB46)</f>
        <v>0</v>
      </c>
      <c r="BE46">
        <f>IF(INDEX(BR41:BR44,$AX46)&lt;&gt;INDEX(BR41:BR44,BE$7),0,BE41)</f>
        <v>0</v>
      </c>
      <c r="BF46">
        <f>IF(INDEX(BR41:BR44,$AX46)&lt;&gt;INDEX(BR41:BR44,BF$7),0,BF41)</f>
        <v>0</v>
      </c>
      <c r="BG46">
        <f>IF(INDEX(BR41:BR44,$AX46)&lt;&gt;INDEX(BR41:BR44,BG$7),0,BG41)</f>
        <v>0</v>
      </c>
      <c r="BH46">
        <f>IF(INDEX(BR41:BR44,$AX46)&lt;&gt;INDEX(BR41:BR44,BH$7),0,BH41)</f>
        <v>0</v>
      </c>
      <c r="BI46" s="55">
        <f>SUM(BE46:BH46)</f>
        <v>0</v>
      </c>
      <c r="BK46">
        <f>IF(INDEX(BR41:BR44,$AX46)&lt;&gt;INDEX(BR41:BR44,BK$7),0,BK41)</f>
        <v>0</v>
      </c>
      <c r="BL46">
        <f>IF(INDEX(BR41:BR44,$AX46)&lt;&gt;INDEX(BR41:BR44,BL$7),0,BL41)</f>
        <v>0</v>
      </c>
      <c r="BM46">
        <f>IF(INDEX(BR41:BR44,$AX46)&lt;&gt;INDEX(BR41:BR44,BM$7),0,BM41)</f>
        <v>0</v>
      </c>
      <c r="BN46">
        <f>IF(INDEX(BR41:BR44,$AX46)&lt;&gt;INDEX(BR41:BR44,BN$7),0,BN41)</f>
        <v>0</v>
      </c>
      <c r="BO46" s="55">
        <f>SUM(BK46:BN46)-BI46</f>
        <v>0</v>
      </c>
      <c r="BR46">
        <f>BC46*10000+BO46*100+BI46</f>
        <v>0</v>
      </c>
      <c r="BT46">
        <f>RANK(BR46,BR46:BR49,2)</f>
        <v>1</v>
      </c>
      <c r="BY46" s="56">
        <v>1</v>
      </c>
      <c r="BZ46" s="47">
        <f>IF(COUNT(CB46:CB49)=4,MATCH(BY46,CB46:CB49,0),MATCH(BY46,CB41:CB44,0))</f>
        <v>1</v>
      </c>
      <c r="CA46" s="47">
        <f>INDEX(BQ41:BQ44,BZ46)</f>
        <v>13</v>
      </c>
      <c r="CB46" s="57"/>
      <c r="CC46" t="s">
        <v>40</v>
      </c>
      <c r="CH46" s="16"/>
      <c r="CI46" s="16" t="s">
        <v>9</v>
      </c>
      <c r="CK46" s="58" t="s">
        <v>41</v>
      </c>
      <c r="CL46" s="58" t="s">
        <v>42</v>
      </c>
      <c r="CM46" s="59" t="s">
        <v>43</v>
      </c>
      <c r="CN46" s="59" t="s">
        <v>44</v>
      </c>
      <c r="CO46" s="60" t="s">
        <v>45</v>
      </c>
      <c r="CP46" s="60" t="s">
        <v>45</v>
      </c>
      <c r="CU46" s="167">
        <f t="shared" si="38"/>
      </c>
      <c r="CV46" s="168">
        <f t="shared" si="39"/>
      </c>
      <c r="CY46" s="3"/>
      <c r="CZ46" s="3"/>
      <c r="DA46" s="3"/>
      <c r="DB46" s="3"/>
    </row>
    <row r="47" spans="1:106" ht="12" customHeight="1">
      <c r="A47" s="3"/>
      <c r="B47" s="10"/>
      <c r="C47" s="11"/>
      <c r="D47" s="336">
        <f>IF(CJ47=0,"","Entscheidungselfmeterschießen:")</f>
      </c>
      <c r="E47" s="336"/>
      <c r="F47" s="336"/>
      <c r="G47" s="336"/>
      <c r="H47" s="336"/>
      <c r="I47" s="336"/>
      <c r="J47" s="336"/>
      <c r="K47" s="336">
        <f>IF(CJ47=0,"",CK48)</f>
      </c>
      <c r="L47" s="336"/>
      <c r="M47" s="336"/>
      <c r="N47" s="336"/>
      <c r="O47" s="336"/>
      <c r="P47" s="327">
        <f>IF(CJ47=0,"",":  "&amp;CL48)</f>
      </c>
      <c r="Q47" s="327"/>
      <c r="R47" s="327"/>
      <c r="S47" s="327"/>
      <c r="T47" s="327"/>
      <c r="U47" s="161"/>
      <c r="V47" s="162"/>
      <c r="W47" s="20"/>
      <c r="X47" s="12"/>
      <c r="Y47" s="12"/>
      <c r="Z47" s="359">
        <f>IF(CC45,"Korrigierte Tabelle!","")</f>
      </c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12"/>
      <c r="AL47" t="s">
        <v>46</v>
      </c>
      <c r="AM47">
        <f>MATCH(AM45,AX41:AX44,0)</f>
        <v>1</v>
      </c>
      <c r="AN47">
        <f>MATCH(AN45,AX41:AX44,0)</f>
        <v>3</v>
      </c>
      <c r="AX47" s="15">
        <v>2</v>
      </c>
      <c r="AY47">
        <f>IF(INDEX(BR41:BR44,$AX47)&lt;&gt;INDEX(BR41:BR44,AY$7),0,AY42)</f>
        <v>0</v>
      </c>
      <c r="AZ47">
        <f>IF(INDEX(BR41:BR44,$AX47)&lt;&gt;INDEX(BR41:BR44,AZ$7),0,AZ42)</f>
        <v>0</v>
      </c>
      <c r="BA47">
        <f>IF(INDEX(BR41:BR44,$AX47)&lt;&gt;INDEX(BR41:BR44,BA$7),0,BA42)</f>
        <v>0</v>
      </c>
      <c r="BB47">
        <f>IF(INDEX(BR41:BR44,$AX47)&lt;&gt;INDEX(BR41:BR44,BB$7),0,BB42)</f>
        <v>0</v>
      </c>
      <c r="BC47" s="55">
        <f>SUM(AY47:BB47)</f>
        <v>0</v>
      </c>
      <c r="BE47">
        <f>IF(INDEX(BR41:BR44,$AX47)&lt;&gt;INDEX(BR41:BR44,BE$7),0,BE42)</f>
        <v>0</v>
      </c>
      <c r="BF47">
        <f>IF(INDEX(BR41:BR44,$AX47)&lt;&gt;INDEX(BR41:BR44,BF$7),0,BF42)</f>
        <v>0</v>
      </c>
      <c r="BG47">
        <f>IF(INDEX(BR41:BR44,$AX47)&lt;&gt;INDEX(BR41:BR44,BG$7),0,BG42)</f>
        <v>0</v>
      </c>
      <c r="BH47">
        <f>IF(INDEX(BR41:BR44,$AX47)&lt;&gt;INDEX(BR41:BR44,BH$7),0,BH42)</f>
        <v>0</v>
      </c>
      <c r="BI47" s="55">
        <f>SUM(BE47:BH47)</f>
        <v>0</v>
      </c>
      <c r="BK47">
        <f>IF(INDEX(BR41:BR44,$AX47)&lt;&gt;INDEX(BR41:BR44,BK$7),0,BK42)</f>
        <v>0</v>
      </c>
      <c r="BL47">
        <f>IF(INDEX(BR41:BR44,$AX47)&lt;&gt;INDEX(BR41:BR44,BL$7),0,BL42)</f>
        <v>0</v>
      </c>
      <c r="BM47">
        <f>IF(INDEX(BR41:BR44,$AX47)&lt;&gt;INDEX(BR41:BR44,BM$7),0,BM42)</f>
        <v>0</v>
      </c>
      <c r="BN47">
        <f>IF(INDEX(BR41:BR44,$AX47)&lt;&gt;INDEX(BR41:BR44,BN$7),0,BN42)</f>
        <v>0</v>
      </c>
      <c r="BO47" s="55">
        <f>SUM(BK47:BN47)-BI47</f>
        <v>0</v>
      </c>
      <c r="BR47">
        <f>BC47*10000+BO47*100+BI47</f>
        <v>0</v>
      </c>
      <c r="BT47">
        <f>RANK(BR47,BR46:BR49,2)</f>
        <v>1</v>
      </c>
      <c r="BY47" s="56">
        <v>2</v>
      </c>
      <c r="BZ47" s="47">
        <f>IF(COUNT(CB46:CB49)=4,MATCH(BY47,CB46:CB49,0),MATCH(BY47,CB41:CB44,0))</f>
        <v>2</v>
      </c>
      <c r="CA47" s="47">
        <f>INDEX(BQ41:BQ44,BZ47)</f>
        <v>14</v>
      </c>
      <c r="CB47" s="57"/>
      <c r="CC47" t="s">
        <v>47</v>
      </c>
      <c r="CH47" s="60" t="s">
        <v>23</v>
      </c>
      <c r="CI47" s="60">
        <f>IF(AND(CM42,CM43),IF(CN42&gt;CN43,2,IF(CN42&lt;CN43,1,0)),IF(CM42,1,IF(CM43,2,0)))</f>
        <v>0</v>
      </c>
      <c r="CJ47" s="61">
        <f>IF(CI47=0,0,IF(INDEX(CN42:CN43,CI47)&gt;2,0,CI47))</f>
        <v>0</v>
      </c>
      <c r="CK47" s="58">
        <f>IF(CJ47=0,0,INDEX(AM45:AM46,CJ47))</f>
        <v>0</v>
      </c>
      <c r="CL47" s="58">
        <f>IF(CJ47=0,0,INDEX(AN45:AN46,CJ47))</f>
        <v>0</v>
      </c>
      <c r="CM47" s="59">
        <f>IF(CJ47=0,0,IF(COUNT(U47:V47)&lt;&gt;2,0,U47))</f>
        <v>0</v>
      </c>
      <c r="CN47" s="59">
        <f>IF(CJ47=0,0,IF(COUNT(U47:V47)&lt;&gt;2,0,V47))</f>
        <v>0</v>
      </c>
      <c r="CO47" s="60">
        <f>IF(CJ47=0,0,IF(CM47=CN47,0,IF(CM47&gt;CN47,1,0)))</f>
        <v>0</v>
      </c>
      <c r="CP47" s="60">
        <f>IF(CJ47=0,0,IF(CM47=CN47,0,IF(CM47&gt;CN47,0,1)))</f>
        <v>0</v>
      </c>
      <c r="CY47" s="3"/>
      <c r="CZ47" s="3"/>
      <c r="DA47" s="3"/>
      <c r="DB47" s="3"/>
    </row>
    <row r="48" spans="1:106" ht="6" customHeight="1">
      <c r="A48" s="3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313"/>
      <c r="AL48" t="s">
        <v>49</v>
      </c>
      <c r="AM48">
        <f>MATCH(AM46,AX41:AX44,0)</f>
        <v>4</v>
      </c>
      <c r="AN48">
        <f>MATCH(AN46,AX41:AX44,0)</f>
        <v>2</v>
      </c>
      <c r="AX48" s="15">
        <v>3</v>
      </c>
      <c r="AY48">
        <f>IF(INDEX(BR41:BR44,$AX48)&lt;&gt;INDEX(BR41:BR44,AY$7),0,AY43)</f>
        <v>0</v>
      </c>
      <c r="AZ48">
        <f>IF(INDEX(BR41:BR44,$AX48)&lt;&gt;INDEX(BR41:BR44,AZ$7),0,AZ43)</f>
        <v>0</v>
      </c>
      <c r="BA48">
        <f>IF(INDEX(BR41:BR44,$AX48)&lt;&gt;INDEX(BR41:BR44,BA$7),0,BA43)</f>
        <v>0</v>
      </c>
      <c r="BB48">
        <f>IF(INDEX(BR41:BR44,$AX48)&lt;&gt;INDEX(BR41:BR44,BB$7),0,BB43)</f>
        <v>0</v>
      </c>
      <c r="BC48" s="55">
        <f>SUM(AY48:BB48)</f>
        <v>0</v>
      </c>
      <c r="BE48">
        <f>IF(INDEX(BR41:BR44,$AX48)&lt;&gt;INDEX(BR41:BR44,BE$7),0,BE43)</f>
        <v>0</v>
      </c>
      <c r="BF48">
        <f>IF(INDEX(BR41:BR44,$AX48)&lt;&gt;INDEX(BR41:BR44,BF$7),0,BF43)</f>
        <v>0</v>
      </c>
      <c r="BG48">
        <f>IF(INDEX(BR41:BR44,$AX48)&lt;&gt;INDEX(BR41:BR44,BG$7),0,BG43)</f>
        <v>0</v>
      </c>
      <c r="BH48">
        <f>IF(INDEX(BR41:BR44,$AX48)&lt;&gt;INDEX(BR41:BR44,BH$7),0,BH43)</f>
        <v>0</v>
      </c>
      <c r="BI48" s="55">
        <f>SUM(BE48:BH48)</f>
        <v>0</v>
      </c>
      <c r="BK48">
        <f>IF(INDEX(BR41:BR44,$AX48)&lt;&gt;INDEX(BR41:BR44,BK$7),0,BK43)</f>
        <v>0</v>
      </c>
      <c r="BL48">
        <f>IF(INDEX(BR41:BR44,$AX48)&lt;&gt;INDEX(BR41:BR44,BL$7),0,BL43)</f>
        <v>0</v>
      </c>
      <c r="BM48">
        <f>IF(INDEX(BR41:BR44,$AX48)&lt;&gt;INDEX(BR41:BR44,BM$7),0,BM43)</f>
        <v>0</v>
      </c>
      <c r="BN48">
        <f>IF(INDEX(BR41:BR44,$AX48)&lt;&gt;INDEX(BR41:BR44,BN$7),0,BN43)</f>
        <v>0</v>
      </c>
      <c r="BO48" s="55">
        <f>SUM(BK48:BN48)-BI48</f>
        <v>0</v>
      </c>
      <c r="BR48">
        <f>BC48*10000+BO48*100+BI48</f>
        <v>0</v>
      </c>
      <c r="BT48">
        <f>RANK(BR48,BR46:BR49,2)</f>
        <v>1</v>
      </c>
      <c r="BY48" s="56">
        <v>3</v>
      </c>
      <c r="BZ48" s="47">
        <f>IF(COUNT(CB46:CB49)=4,MATCH(BY48,CB46:CB49,0),MATCH(BY48,CB41:CB44,0))</f>
        <v>3</v>
      </c>
      <c r="CA48" s="47">
        <f>INDEX(BQ41:BQ44,BZ48)</f>
        <v>15</v>
      </c>
      <c r="CB48" s="57"/>
      <c r="CC48" t="s">
        <v>50</v>
      </c>
      <c r="CK48" s="67">
        <f>IF(CK47=0,"",INDEX(teams,CK47))</f>
      </c>
      <c r="CL48" s="67">
        <f>IF(CL47=0,"",INDEX(teams,CL47))</f>
      </c>
      <c r="CY48" s="3"/>
      <c r="CZ48" s="3"/>
      <c r="DA48" s="3"/>
      <c r="DB48" s="3"/>
    </row>
    <row r="49" spans="1:106" ht="12.7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  <c r="AX49" s="15">
        <v>4</v>
      </c>
      <c r="AY49">
        <f>IF(INDEX(BR41:BR44,$AX49)&lt;&gt;INDEX(BR41:BR44,AY$7),0,AY44)</f>
        <v>0</v>
      </c>
      <c r="AZ49">
        <f>IF(INDEX(BR41:BR44,$AX49)&lt;&gt;INDEX(BR41:BR44,AZ$7),0,AZ44)</f>
        <v>0</v>
      </c>
      <c r="BA49">
        <f>IF(INDEX(BR41:BR44,$AX49)&lt;&gt;INDEX(BR41:BR44,BA$7),0,BA44)</f>
        <v>0</v>
      </c>
      <c r="BB49">
        <f>IF(INDEX(BR41:BR44,$AX49)&lt;&gt;INDEX(BR41:BR44,BB$7),0,BB44)</f>
        <v>0</v>
      </c>
      <c r="BC49" s="55">
        <f>SUM(AY49:BB49)</f>
        <v>0</v>
      </c>
      <c r="BE49">
        <f>IF(INDEX(BR41:BR44,$AX49)&lt;&gt;INDEX(BR41:BR44,BE$7),0,BE44)</f>
        <v>0</v>
      </c>
      <c r="BF49">
        <f>IF(INDEX(BR41:BR44,$AX49)&lt;&gt;INDEX(BR41:BR44,BF$7),0,BF44)</f>
        <v>0</v>
      </c>
      <c r="BG49">
        <f>IF(INDEX(BR41:BR44,$AX49)&lt;&gt;INDEX(BR41:BR44,BG$7),0,BG44)</f>
        <v>0</v>
      </c>
      <c r="BH49">
        <f>IF(INDEX(BR41:BR44,$AX49)&lt;&gt;INDEX(BR41:BR44,BH$7),0,BH44)</f>
        <v>0</v>
      </c>
      <c r="BI49" s="55">
        <f>SUM(BE49:BH49)</f>
        <v>0</v>
      </c>
      <c r="BK49">
        <f>IF(INDEX(BR41:BR44,$AX49)&lt;&gt;INDEX(BR41:BR44,BK$7),0,BK44)</f>
        <v>0</v>
      </c>
      <c r="BL49">
        <f>IF(INDEX(BR41:BR44,$AX49)&lt;&gt;INDEX(BR41:BR44,BL$7),0,BL44)</f>
        <v>0</v>
      </c>
      <c r="BM49">
        <f>IF(INDEX(BR41:BR44,$AX49)&lt;&gt;INDEX(BR41:BR44,BM$7),0,BM44)</f>
        <v>0</v>
      </c>
      <c r="BN49">
        <f>IF(INDEX(BR41:BR44,$AX49)&lt;&gt;INDEX(BR41:BR44,BN$7),0,BN44)</f>
        <v>0</v>
      </c>
      <c r="BO49" s="55">
        <f>SUM(BK49:BN49)-BI49</f>
        <v>0</v>
      </c>
      <c r="BR49">
        <f>BC49*10000+BO49*100+BI49</f>
        <v>0</v>
      </c>
      <c r="BT49">
        <f>RANK(BR49,BR46:BR49,2)</f>
        <v>1</v>
      </c>
      <c r="BY49" s="56">
        <v>4</v>
      </c>
      <c r="BZ49" s="47">
        <f>IF(COUNT(CB46:CB49)=4,MATCH(BY49,CB46:CB49,0),MATCH(BY49,CB41:CB44,0))</f>
        <v>4</v>
      </c>
      <c r="CA49" s="47">
        <f>INDEX(BQ41:BQ44,BZ49)</f>
        <v>16</v>
      </c>
      <c r="CB49" s="57"/>
      <c r="CC49" t="s">
        <v>51</v>
      </c>
      <c r="CY49" s="3"/>
      <c r="CZ49" s="3"/>
      <c r="DA49" s="3"/>
      <c r="DB49" s="3"/>
    </row>
    <row r="50" spans="1:106" ht="12.7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CY50" s="3"/>
      <c r="CZ50" s="3"/>
      <c r="DA50" s="3"/>
      <c r="DB50" s="3"/>
    </row>
    <row r="51" spans="1:10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CY51" s="3"/>
      <c r="CZ51" s="3"/>
      <c r="DA51" s="3"/>
      <c r="DB51" s="3"/>
    </row>
    <row r="52" spans="1:10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CY52" s="3"/>
      <c r="CZ52" s="3"/>
      <c r="DA52" s="3"/>
      <c r="DB52" s="3"/>
    </row>
    <row r="53" spans="1:10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CY53" s="3"/>
      <c r="CZ53" s="3"/>
      <c r="DA53" s="3"/>
      <c r="DB53" s="3"/>
    </row>
    <row r="54" spans="1:10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CY54" s="3"/>
      <c r="CZ54" s="3"/>
      <c r="DA54" s="3"/>
      <c r="DB54" s="3"/>
    </row>
    <row r="55" spans="1:10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t="s">
        <v>5</v>
      </c>
      <c r="AO55" t="s">
        <v>185</v>
      </c>
      <c r="CY55" s="3"/>
      <c r="CZ55" s="3"/>
      <c r="DA55" s="3"/>
      <c r="DB55" s="3"/>
    </row>
    <row r="56" spans="1:10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t="s">
        <v>2</v>
      </c>
      <c r="AM56" s="261">
        <f>SUM(AG9:AG13)</f>
        <v>0</v>
      </c>
      <c r="AO56" s="261">
        <f>MAX(AG9:AG46)</f>
        <v>0</v>
      </c>
      <c r="AP56">
        <f>MATCH(AO56,AG9:AG46,0)</f>
        <v>1</v>
      </c>
      <c r="AQ56" t="str">
        <f>INDEX(AA9:AA46,AP56)</f>
        <v>Schweiz</v>
      </c>
      <c r="CY56" s="3"/>
      <c r="CZ56" s="3"/>
      <c r="DA56" s="3"/>
      <c r="DB56" s="3"/>
    </row>
    <row r="57" spans="1:10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t="s">
        <v>48</v>
      </c>
      <c r="AM57" s="261">
        <f>SUM(AG20:AG24)</f>
        <v>0</v>
      </c>
      <c r="AO57" t="s">
        <v>186</v>
      </c>
      <c r="CY57" s="3"/>
      <c r="CZ57" s="3"/>
      <c r="DA57" s="3"/>
      <c r="DB57" s="3"/>
    </row>
    <row r="58" spans="1:10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t="s">
        <v>52</v>
      </c>
      <c r="AM58" s="261">
        <f>SUM(AG31:AG35)</f>
        <v>0</v>
      </c>
      <c r="AO58" s="261">
        <f>MIN(AG9:AG46)</f>
        <v>0</v>
      </c>
      <c r="AP58">
        <f>MATCH(AO58,AG9:AG46,0)</f>
        <v>1</v>
      </c>
      <c r="AQ58" t="str">
        <f>INDEX(AA9:AA46,AP58)</f>
        <v>Schweiz</v>
      </c>
      <c r="CY58" s="3"/>
      <c r="CZ58" s="3"/>
      <c r="DA58" s="3"/>
      <c r="DB58" s="3"/>
    </row>
    <row r="59" spans="1:10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t="s">
        <v>53</v>
      </c>
      <c r="AM59" s="261">
        <f>SUM(AG42:AG46)</f>
        <v>0</v>
      </c>
      <c r="CY59" s="3"/>
      <c r="CZ59" s="3"/>
      <c r="DA59" s="3"/>
      <c r="DB59" s="3"/>
    </row>
    <row r="60" spans="1:10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t="s">
        <v>182</v>
      </c>
      <c r="AM60" s="261">
        <f>MAX(AM56:AM59)</f>
        <v>0</v>
      </c>
      <c r="AO60" t="s">
        <v>187</v>
      </c>
      <c r="CY60" s="3"/>
      <c r="CZ60" s="3"/>
      <c r="DA60" s="3"/>
      <c r="DB60" s="3"/>
    </row>
    <row r="61" spans="38:43" ht="12.75">
      <c r="AL61" t="s">
        <v>183</v>
      </c>
      <c r="AM61">
        <f>MATCH(AM60,AM56:AM59,0)</f>
        <v>1</v>
      </c>
      <c r="AO61">
        <f>MAX(AH9:AH46)</f>
        <v>0</v>
      </c>
      <c r="AP61">
        <f>MATCH(AO61,AH9:AH46,0)</f>
        <v>1</v>
      </c>
      <c r="AQ61" t="str">
        <f>INDEX(AA9:AA46,AP61)</f>
        <v>Schweiz</v>
      </c>
    </row>
    <row r="62" spans="38:41" ht="12.75">
      <c r="AL62" t="s">
        <v>184</v>
      </c>
      <c r="AM62" s="261">
        <f>MIN(AM56:AM59)</f>
        <v>0</v>
      </c>
      <c r="AO62" t="s">
        <v>188</v>
      </c>
    </row>
    <row r="63" spans="38:43" ht="12.75">
      <c r="AL63" t="s">
        <v>183</v>
      </c>
      <c r="AM63">
        <f>MATCH(AM62,AM56:AM59,0)</f>
        <v>1</v>
      </c>
      <c r="AO63">
        <f>MIN(AH9:AH46)</f>
        <v>0</v>
      </c>
      <c r="AP63">
        <f>MATCH(AO63,AH9:AH46,0)</f>
        <v>1</v>
      </c>
      <c r="AQ63" t="str">
        <f>INDEX(AA9:AA46,AP63)</f>
        <v>Schweiz</v>
      </c>
    </row>
  </sheetData>
  <sheetProtection password="FDAA" sheet="1" objects="1" scenarios="1"/>
  <mergeCells count="163">
    <mergeCell ref="U17:V18"/>
    <mergeCell ref="Z18:AD19"/>
    <mergeCell ref="D3:G3"/>
    <mergeCell ref="Y3:AH3"/>
    <mergeCell ref="U6:V6"/>
    <mergeCell ref="D10:G10"/>
    <mergeCell ref="H10:J10"/>
    <mergeCell ref="K10:O10"/>
    <mergeCell ref="P10:T10"/>
    <mergeCell ref="Z14:AJ14"/>
    <mergeCell ref="P20:T20"/>
    <mergeCell ref="K9:O9"/>
    <mergeCell ref="K19:O19"/>
    <mergeCell ref="P19:T19"/>
    <mergeCell ref="AF18:AF19"/>
    <mergeCell ref="AI40:AI41"/>
    <mergeCell ref="AJ40:AJ41"/>
    <mergeCell ref="AJ7:AJ8"/>
    <mergeCell ref="AJ18:AJ19"/>
    <mergeCell ref="AG7:AH8"/>
    <mergeCell ref="AG18:AH19"/>
    <mergeCell ref="AI18:AI19"/>
    <mergeCell ref="AA32:AE32"/>
    <mergeCell ref="AG29:AH30"/>
    <mergeCell ref="Z40:AD41"/>
    <mergeCell ref="Z29:AD30"/>
    <mergeCell ref="AA34:AE34"/>
    <mergeCell ref="AA35:AE35"/>
    <mergeCell ref="Z47:AJ47"/>
    <mergeCell ref="D11:G11"/>
    <mergeCell ref="H11:J11"/>
    <mergeCell ref="K11:O11"/>
    <mergeCell ref="P11:T11"/>
    <mergeCell ref="D13:G13"/>
    <mergeCell ref="H13:J13"/>
    <mergeCell ref="K13:O13"/>
    <mergeCell ref="P13:T13"/>
    <mergeCell ref="H19:J19"/>
    <mergeCell ref="D8:G8"/>
    <mergeCell ref="H8:J8"/>
    <mergeCell ref="D9:G9"/>
    <mergeCell ref="D4:E5"/>
    <mergeCell ref="H9:J9"/>
    <mergeCell ref="G5:L5"/>
    <mergeCell ref="D17:G18"/>
    <mergeCell ref="P22:T22"/>
    <mergeCell ref="D21:G21"/>
    <mergeCell ref="H21:J21"/>
    <mergeCell ref="K21:O21"/>
    <mergeCell ref="P21:T21"/>
    <mergeCell ref="D20:G20"/>
    <mergeCell ref="D19:G19"/>
    <mergeCell ref="H20:J20"/>
    <mergeCell ref="K20:O20"/>
    <mergeCell ref="D30:G30"/>
    <mergeCell ref="H30:J30"/>
    <mergeCell ref="K30:O30"/>
    <mergeCell ref="P30:T30"/>
    <mergeCell ref="D31:G31"/>
    <mergeCell ref="H31:J31"/>
    <mergeCell ref="K31:O31"/>
    <mergeCell ref="P31:T31"/>
    <mergeCell ref="D34:G34"/>
    <mergeCell ref="H34:J34"/>
    <mergeCell ref="K34:O34"/>
    <mergeCell ref="D32:G32"/>
    <mergeCell ref="H32:J32"/>
    <mergeCell ref="K32:O32"/>
    <mergeCell ref="D33:G33"/>
    <mergeCell ref="H33:J33"/>
    <mergeCell ref="K33:O33"/>
    <mergeCell ref="D35:G35"/>
    <mergeCell ref="H35:J35"/>
    <mergeCell ref="K35:O35"/>
    <mergeCell ref="P35:T35"/>
    <mergeCell ref="D41:G41"/>
    <mergeCell ref="H41:J41"/>
    <mergeCell ref="K41:O41"/>
    <mergeCell ref="P41:T41"/>
    <mergeCell ref="D42:G42"/>
    <mergeCell ref="H42:J42"/>
    <mergeCell ref="K42:O42"/>
    <mergeCell ref="P42:T42"/>
    <mergeCell ref="D43:G43"/>
    <mergeCell ref="H43:J43"/>
    <mergeCell ref="K43:O43"/>
    <mergeCell ref="P43:T43"/>
    <mergeCell ref="D44:G44"/>
    <mergeCell ref="H44:J44"/>
    <mergeCell ref="K44:O44"/>
    <mergeCell ref="P44:T44"/>
    <mergeCell ref="D45:G45"/>
    <mergeCell ref="H45:J45"/>
    <mergeCell ref="K45:O45"/>
    <mergeCell ref="P45:T45"/>
    <mergeCell ref="D46:G46"/>
    <mergeCell ref="H46:J46"/>
    <mergeCell ref="K46:O46"/>
    <mergeCell ref="P46:T46"/>
    <mergeCell ref="U28:V29"/>
    <mergeCell ref="U39:V40"/>
    <mergeCell ref="Z25:AJ25"/>
    <mergeCell ref="Z36:AJ36"/>
    <mergeCell ref="AI29:AI30"/>
    <mergeCell ref="AJ29:AJ30"/>
    <mergeCell ref="AA31:AE31"/>
    <mergeCell ref="AF29:AF30"/>
    <mergeCell ref="AF40:AF41"/>
    <mergeCell ref="AG40:AH41"/>
    <mergeCell ref="AA43:AE43"/>
    <mergeCell ref="AA45:AE45"/>
    <mergeCell ref="AA46:AE46"/>
    <mergeCell ref="AA42:AE42"/>
    <mergeCell ref="AA20:AE20"/>
    <mergeCell ref="AA21:AE21"/>
    <mergeCell ref="AA23:AE23"/>
    <mergeCell ref="AA24:AE24"/>
    <mergeCell ref="D24:G24"/>
    <mergeCell ref="H24:J24"/>
    <mergeCell ref="K24:O24"/>
    <mergeCell ref="H22:J22"/>
    <mergeCell ref="K22:O22"/>
    <mergeCell ref="D23:G23"/>
    <mergeCell ref="D22:G22"/>
    <mergeCell ref="H23:J23"/>
    <mergeCell ref="K23:O23"/>
    <mergeCell ref="U5:Z5"/>
    <mergeCell ref="AB5:AG5"/>
    <mergeCell ref="AI7:AI8"/>
    <mergeCell ref="AA9:AE9"/>
    <mergeCell ref="AF7:AF8"/>
    <mergeCell ref="Z7:AD8"/>
    <mergeCell ref="W6:X6"/>
    <mergeCell ref="AA10:AE10"/>
    <mergeCell ref="K14:O14"/>
    <mergeCell ref="P14:T14"/>
    <mergeCell ref="D12:G12"/>
    <mergeCell ref="H12:J12"/>
    <mergeCell ref="K12:O12"/>
    <mergeCell ref="P12:T12"/>
    <mergeCell ref="D14:J14"/>
    <mergeCell ref="AA12:AE12"/>
    <mergeCell ref="AA13:AE13"/>
    <mergeCell ref="D47:J47"/>
    <mergeCell ref="K47:O47"/>
    <mergeCell ref="P47:T47"/>
    <mergeCell ref="D25:J25"/>
    <mergeCell ref="K25:O25"/>
    <mergeCell ref="P25:T25"/>
    <mergeCell ref="D36:J36"/>
    <mergeCell ref="K36:O36"/>
    <mergeCell ref="D28:G29"/>
    <mergeCell ref="D39:G40"/>
    <mergeCell ref="P36:T36"/>
    <mergeCell ref="P9:T9"/>
    <mergeCell ref="N5:S5"/>
    <mergeCell ref="P32:T32"/>
    <mergeCell ref="P24:T24"/>
    <mergeCell ref="K8:O8"/>
    <mergeCell ref="P8:T8"/>
    <mergeCell ref="P33:T33"/>
    <mergeCell ref="P34:T34"/>
    <mergeCell ref="P23:T23"/>
  </mergeCells>
  <conditionalFormatting sqref="U14 U25">
    <cfRule type="expression" priority="1" dxfId="0" stopIfTrue="1">
      <formula>$CJ14&gt;0</formula>
    </cfRule>
  </conditionalFormatting>
  <conditionalFormatting sqref="V14 V25">
    <cfRule type="expression" priority="2" dxfId="1" stopIfTrue="1">
      <formula>$CJ14&gt;0</formula>
    </cfRule>
  </conditionalFormatting>
  <conditionalFormatting sqref="U47 U36">
    <cfRule type="expression" priority="3" dxfId="2" stopIfTrue="1">
      <formula>$CJ36&gt;0</formula>
    </cfRule>
  </conditionalFormatting>
  <conditionalFormatting sqref="V47 V36">
    <cfRule type="expression" priority="4" dxfId="3" stopIfTrue="1">
      <formula>$CJ36&gt;0</formula>
    </cfRule>
  </conditionalFormatting>
  <conditionalFormatting sqref="AA9:AE10 AA12:AE13">
    <cfRule type="expression" priority="5" dxfId="4" stopIfTrue="1">
      <formula>MATCH(AA9,$CK$15:$CL$15,0)&gt;0</formula>
    </cfRule>
  </conditionalFormatting>
  <conditionalFormatting sqref="AA20:AE21 AA23:AE24">
    <cfRule type="expression" priority="6" dxfId="4" stopIfTrue="1">
      <formula>MATCH(AA20,$CK$26:$CL$26,0)&gt;0</formula>
    </cfRule>
  </conditionalFormatting>
  <conditionalFormatting sqref="AA31:AE32 AA34:AE35">
    <cfRule type="expression" priority="7" dxfId="5" stopIfTrue="1">
      <formula>MATCH(AA31,$CK$37:$CL$37,0)&gt;0</formula>
    </cfRule>
  </conditionalFormatting>
  <conditionalFormatting sqref="AA42:AE43 AA45:AE46">
    <cfRule type="expression" priority="8" dxfId="5" stopIfTrue="1">
      <formula>MATCH(AA42,$CK$48:$CL$48,0)&gt;0</formula>
    </cfRule>
  </conditionalFormatting>
  <printOptions/>
  <pageMargins left="0.5905511811023623" right="0.5905511811023623" top="0.7086614173228347" bottom="0.7086614173228347" header="0.5118110236220472" footer="0.5118110236220472"/>
  <pageSetup blackAndWhite="1" fitToHeight="1" fitToWidth="1" orientation="landscape" paperSize="9" scale="9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G48"/>
  <sheetViews>
    <sheetView showRowColHeaders="0" workbookViewId="0" topLeftCell="A1">
      <selection activeCell="J15" sqref="J15:R25"/>
    </sheetView>
  </sheetViews>
  <sheetFormatPr defaultColWidth="11.421875" defaultRowHeight="12.75"/>
  <cols>
    <col min="1" max="1" width="1.7109375" style="0" customWidth="1"/>
    <col min="2" max="2" width="0.85546875" style="0" customWidth="1"/>
    <col min="3" max="3" width="4.7109375" style="0" customWidth="1"/>
    <col min="4" max="5" width="8.7109375" style="0" customWidth="1"/>
    <col min="6" max="7" width="8.28125" style="0" customWidth="1"/>
    <col min="8" max="8" width="10.28125" style="0" customWidth="1"/>
    <col min="9" max="9" width="8.28125" style="0" customWidth="1"/>
    <col min="10" max="10" width="6.7109375" style="0" customWidth="1"/>
    <col min="11" max="11" width="8.7109375" style="0" customWidth="1"/>
    <col min="12" max="12" width="2.7109375" style="0" customWidth="1"/>
    <col min="13" max="13" width="4.7109375" style="0" customWidth="1"/>
    <col min="14" max="14" width="5.7109375" style="0" customWidth="1"/>
    <col min="15" max="15" width="9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26.7109375" style="0" customWidth="1"/>
    <col min="20" max="21" width="0.85546875" style="0" customWidth="1"/>
    <col min="23" max="27" width="11.421875" style="0" hidden="1" customWidth="1"/>
    <col min="28" max="28" width="15.7109375" style="0" hidden="1" customWidth="1"/>
    <col min="29" max="35" width="11.421875" style="0" hidden="1" customWidth="1"/>
    <col min="36" max="36" width="6.7109375" style="0" hidden="1" customWidth="1"/>
    <col min="37" max="37" width="8.7109375" style="0" hidden="1" customWidth="1"/>
    <col min="38" max="38" width="2.7109375" style="0" hidden="1" customWidth="1"/>
    <col min="39" max="39" width="4.7109375" style="0" hidden="1" customWidth="1"/>
    <col min="40" max="40" width="5.7109375" style="0" hidden="1" customWidth="1"/>
    <col min="41" max="41" width="9.7109375" style="0" hidden="1" customWidth="1"/>
    <col min="42" max="42" width="2.7109375" style="0" hidden="1" customWidth="1"/>
    <col min="43" max="43" width="7.7109375" style="0" hidden="1" customWidth="1"/>
    <col min="44" max="52" width="11.421875" style="0" hidden="1" customWidth="1"/>
  </cols>
  <sheetData>
    <row r="1" spans="1:59" ht="7.5" customHeight="1">
      <c r="A1" s="102"/>
      <c r="B1" s="102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3"/>
      <c r="U1" s="3"/>
      <c r="V1" s="3"/>
      <c r="Y1" s="171"/>
      <c r="Z1" s="171"/>
      <c r="BA1" s="3"/>
      <c r="BB1" s="3"/>
      <c r="BC1" s="3"/>
      <c r="BD1" s="3"/>
      <c r="BE1" s="3"/>
      <c r="BF1" s="3"/>
      <c r="BG1" s="3"/>
    </row>
    <row r="2" spans="1:59" ht="12.75">
      <c r="A2" s="102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Alexander Schmidt</v>
      </c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"/>
      <c r="U2" s="3"/>
      <c r="V2" s="3"/>
      <c r="Y2" s="171"/>
      <c r="Z2" s="171" t="s">
        <v>125</v>
      </c>
      <c r="AA2" s="171" t="s">
        <v>125</v>
      </c>
      <c r="AF2" s="171" t="s">
        <v>125</v>
      </c>
      <c r="AG2" s="171" t="s">
        <v>125</v>
      </c>
      <c r="AH2" s="171" t="s">
        <v>125</v>
      </c>
      <c r="AI2" s="171" t="s">
        <v>125</v>
      </c>
      <c r="AJ2" s="171" t="s">
        <v>125</v>
      </c>
      <c r="AK2" s="171" t="s">
        <v>125</v>
      </c>
      <c r="AL2" s="171" t="s">
        <v>125</v>
      </c>
      <c r="AM2" s="171" t="s">
        <v>125</v>
      </c>
      <c r="AU2" t="s">
        <v>200</v>
      </c>
      <c r="BA2" s="3"/>
      <c r="BB2" s="3"/>
      <c r="BC2" s="3"/>
      <c r="BD2" s="3"/>
      <c r="BE2" s="3"/>
      <c r="BF2" s="3"/>
      <c r="BG2" s="3"/>
    </row>
    <row r="3" spans="1:59" ht="7.5" customHeight="1" thickBot="1">
      <c r="A3" s="104"/>
      <c r="B3" s="104"/>
      <c r="C3" s="104"/>
      <c r="D3" s="102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"/>
      <c r="U3" s="3"/>
      <c r="V3" s="3"/>
      <c r="AB3" t="s">
        <v>101</v>
      </c>
      <c r="AC3">
        <v>0</v>
      </c>
      <c r="AK3" s="207"/>
      <c r="AU3" t="s">
        <v>201</v>
      </c>
      <c r="BA3" s="3"/>
      <c r="BB3" s="3"/>
      <c r="BC3" s="3"/>
      <c r="BD3" s="3"/>
      <c r="BE3" s="3"/>
      <c r="BF3" s="3"/>
      <c r="BG3" s="3"/>
    </row>
    <row r="4" spans="1:59" ht="7.5" customHeight="1">
      <c r="A4" s="104"/>
      <c r="B4" s="117"/>
      <c r="C4" s="399" t="s">
        <v>232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118"/>
      <c r="O4" s="118"/>
      <c r="P4" s="118"/>
      <c r="Q4" s="118"/>
      <c r="R4" s="118"/>
      <c r="S4" s="119"/>
      <c r="T4" s="119"/>
      <c r="U4" s="120"/>
      <c r="V4" s="3"/>
      <c r="Y4" s="171" t="str">
        <f>Vorrunde!CR2</f>
        <v>Schweiz</v>
      </c>
      <c r="Z4" s="171" t="str">
        <f>Vorrunde!CS2</f>
        <v>SUI</v>
      </c>
      <c r="AA4" t="s">
        <v>41</v>
      </c>
      <c r="AB4" t="s">
        <v>122</v>
      </c>
      <c r="AC4" t="b">
        <v>1</v>
      </c>
      <c r="AF4" t="s">
        <v>41</v>
      </c>
      <c r="AG4" s="207" t="str">
        <f>VLOOKUP(Vorrunde!$AA$9,Vorrunde!$CR$2:$CS$17,2,FALSE)</f>
        <v>SUI</v>
      </c>
      <c r="AH4" s="207" t="str">
        <f>VLOOKUP(Vorrunde!$AA$20,Vorrunde!$CR$2:$CS$17,2,FALSE)</f>
        <v>AUT</v>
      </c>
      <c r="AI4" s="207" t="str">
        <f>VLOOKUP(Vorrunde!$AA$31,Vorrunde!$CR$2:$CS$17,2,FALSE)</f>
        <v>NED</v>
      </c>
      <c r="AJ4" s="207" t="str">
        <f>VLOOKUP(Vorrunde!$AA$42,Vorrunde!$CR$2:$CS$17,2,FALSE)</f>
        <v>GRE</v>
      </c>
      <c r="AK4" s="207">
        <f>IF(LEN($AG15)&gt;0,$AG15,IF(LEN(Q15)=0,"",Q15))</f>
      </c>
      <c r="AL4">
        <f>IF(LEN($AG17)&gt;0,$AG17,IF(LEN(Q17)=0,"",Q17))</f>
      </c>
      <c r="AM4">
        <f>IF(LEN($AG21)&gt;0,$AG21,IF(LEN(Q21)=0,"",IF(ISERROR(MATCH(Q21,AK4:AK5,0)),"",Q21)))</f>
      </c>
      <c r="AU4">
        <v>1</v>
      </c>
      <c r="AV4" s="181">
        <f>IF(COUNT(Vorrunde!U8:V8)&lt;&gt;2,"",Vorrunde!U8)</f>
      </c>
      <c r="AW4" s="181">
        <f>IF(COUNT(Vorrunde!U8:V8)&lt;&gt;2,"",Vorrunde!V8)</f>
      </c>
      <c r="BA4" s="3"/>
      <c r="BB4" s="3"/>
      <c r="BC4" s="3"/>
      <c r="BD4" s="3"/>
      <c r="BE4" s="3"/>
      <c r="BF4" s="3"/>
      <c r="BG4" s="3"/>
    </row>
    <row r="5" spans="1:59" ht="7.5" customHeight="1">
      <c r="A5" s="104"/>
      <c r="B5" s="121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114"/>
      <c r="O5" s="114"/>
      <c r="P5" s="114"/>
      <c r="Q5" s="114"/>
      <c r="R5" s="114"/>
      <c r="S5" s="115"/>
      <c r="T5" s="115"/>
      <c r="U5" s="122"/>
      <c r="V5" s="3"/>
      <c r="Y5" s="171" t="str">
        <f>Vorrunde!CR3</f>
        <v>Tschechien</v>
      </c>
      <c r="Z5" s="171" t="str">
        <f>Vorrunde!CS3</f>
        <v>CZE</v>
      </c>
      <c r="AA5" t="s">
        <v>42</v>
      </c>
      <c r="AB5" t="s">
        <v>123</v>
      </c>
      <c r="AC5" t="b">
        <v>1</v>
      </c>
      <c r="AF5" t="s">
        <v>42</v>
      </c>
      <c r="AG5" s="207" t="str">
        <f>VLOOKUP(Vorrunde!$AA$21,Vorrunde!$CR$2:$CS$17,2,FALSE)</f>
        <v>CRO</v>
      </c>
      <c r="AH5" s="207" t="str">
        <f>VLOOKUP(Vorrunde!$AA$10,Vorrunde!$CR$2:$CS$17,2,FALSE)</f>
        <v>CZE</v>
      </c>
      <c r="AI5" s="207" t="str">
        <f>VLOOKUP(Vorrunde!$AA$43,Vorrunde!$CR$2:$CS$17,2,FALSE)</f>
        <v>SWE</v>
      </c>
      <c r="AJ5" s="207" t="str">
        <f>VLOOKUP(Vorrunde!$AA$32,Vorrunde!$CR$2:$CS$17,2,FALSE)</f>
        <v>ITA</v>
      </c>
      <c r="AK5" s="207">
        <f>IF(LEN($AG16)&gt;0,$AG16,IF(LEN(Q16)=0,"",Q16))</f>
      </c>
      <c r="AL5">
        <f>IF(LEN($AG18)&gt;0,$AG18,IF(LEN(Q18)=0,"",Q18))</f>
      </c>
      <c r="AM5">
        <f>IF(LEN($AG22)&gt;0,$AG22,IF(LEN(Q22)=0,"",IF(ISERROR(MATCH(Q22,AL4:AL5,0)),"",Q22)))</f>
      </c>
      <c r="AU5">
        <v>2</v>
      </c>
      <c r="AV5" s="181">
        <f>IF(COUNT(Vorrunde!U9:V9)&lt;&gt;2,"",Vorrunde!U9)</f>
      </c>
      <c r="AW5" s="181">
        <f>IF(COUNT(Vorrunde!U9:V9)&lt;&gt;2,"",Vorrunde!V9)</f>
      </c>
      <c r="BA5" s="3"/>
      <c r="BB5" s="3"/>
      <c r="BC5" s="3"/>
      <c r="BD5" s="3"/>
      <c r="BE5" s="3"/>
      <c r="BF5" s="3"/>
      <c r="BG5" s="3"/>
    </row>
    <row r="6" spans="1:59" ht="12.75">
      <c r="A6" s="104"/>
      <c r="B6" s="121"/>
      <c r="C6" s="240" t="s">
        <v>2</v>
      </c>
      <c r="D6" s="241"/>
      <c r="E6" s="241"/>
      <c r="F6" s="241"/>
      <c r="G6" s="240" t="s">
        <v>48</v>
      </c>
      <c r="H6" s="241"/>
      <c r="I6" s="241"/>
      <c r="J6" s="242"/>
      <c r="K6" s="240" t="s">
        <v>52</v>
      </c>
      <c r="L6" s="240"/>
      <c r="M6" s="243"/>
      <c r="N6" s="241"/>
      <c r="O6" s="243"/>
      <c r="P6" s="242"/>
      <c r="Q6" s="240" t="s">
        <v>53</v>
      </c>
      <c r="R6" s="241"/>
      <c r="S6" s="242"/>
      <c r="T6" s="115"/>
      <c r="U6" s="122"/>
      <c r="V6" s="3"/>
      <c r="Y6" s="171" t="str">
        <f>Vorrunde!CR4</f>
        <v>Portugal</v>
      </c>
      <c r="Z6" s="171" t="str">
        <f>Vorrunde!CS4</f>
        <v>POR</v>
      </c>
      <c r="AG6" s="207"/>
      <c r="AH6" s="207"/>
      <c r="AI6" s="207"/>
      <c r="AJ6" s="207"/>
      <c r="AK6" s="207"/>
      <c r="AU6">
        <v>9</v>
      </c>
      <c r="AV6" s="181">
        <f>IF(COUNT(Vorrunde!U10:V10)&lt;&gt;2,"",Vorrunde!U10)</f>
      </c>
      <c r="AW6" s="181">
        <f>IF(COUNT(Vorrunde!U10:V10)&lt;&gt;2,"",Vorrunde!V10)</f>
      </c>
      <c r="BA6" s="3"/>
      <c r="BB6" s="3"/>
      <c r="BC6" s="3"/>
      <c r="BD6" s="3"/>
      <c r="BE6" s="3"/>
      <c r="BF6" s="3"/>
      <c r="BG6" s="3"/>
    </row>
    <row r="7" spans="1:59" ht="12.75">
      <c r="A7" s="104"/>
      <c r="B7" s="121"/>
      <c r="C7" s="197">
        <v>1</v>
      </c>
      <c r="D7" s="196" t="str">
        <f>Vorrunde!AA9&amp;"  ("&amp;VLOOKUP(Vorrunde!AA9,$Y$4:$Z$19,2,FALSE)&amp;")"</f>
        <v>Schweiz  (SUI)</v>
      </c>
      <c r="E7" s="198"/>
      <c r="F7" s="198"/>
      <c r="G7" s="197">
        <v>1</v>
      </c>
      <c r="H7" s="196" t="str">
        <f>Vorrunde!AA20&amp;"  ("&amp;VLOOKUP(Vorrunde!AA20,$Y$4:$Z$19,2,FALSE)&amp;")"</f>
        <v>Österreich  (AUT)</v>
      </c>
      <c r="I7" s="199"/>
      <c r="J7" s="200"/>
      <c r="K7" s="197">
        <v>1</v>
      </c>
      <c r="L7" s="197"/>
      <c r="M7" s="201" t="str">
        <f>Vorrunde!AA31&amp;"  ("&amp;VLOOKUP(Vorrunde!AA31,$Y$4:$Z$19,2,FALSE)&amp;")"</f>
        <v>Niederlande  (NED)</v>
      </c>
      <c r="N7" s="199"/>
      <c r="O7" s="202"/>
      <c r="P7" s="200"/>
      <c r="Q7" s="197">
        <v>1</v>
      </c>
      <c r="R7" s="196" t="str">
        <f>Vorrunde!AA42&amp;"  ("&amp;VLOOKUP(Vorrunde!AA42,$Y$4:$Z$19,2,FALSE)&amp;")"</f>
        <v>Griechenland  (GRE)</v>
      </c>
      <c r="S7" s="200"/>
      <c r="T7" s="115"/>
      <c r="U7" s="122"/>
      <c r="V7" s="3"/>
      <c r="Y7" s="171" t="str">
        <f>Vorrunde!CR5</f>
        <v>Türkei</v>
      </c>
      <c r="Z7" s="171" t="str">
        <f>Vorrunde!CS5</f>
        <v>TUR</v>
      </c>
      <c r="AB7" t="s">
        <v>124</v>
      </c>
      <c r="AC7">
        <v>0</v>
      </c>
      <c r="AG7" s="207"/>
      <c r="AH7" s="207"/>
      <c r="AI7" s="207"/>
      <c r="AJ7" s="207"/>
      <c r="AK7" s="207"/>
      <c r="AU7">
        <v>10</v>
      </c>
      <c r="AV7" s="181">
        <f>IF(COUNT(Vorrunde!U11:V11)&lt;&gt;2,"",Vorrunde!U11)</f>
      </c>
      <c r="AW7" s="181">
        <f>IF(COUNT(Vorrunde!U11:V11)&lt;&gt;2,"",Vorrunde!V11)</f>
      </c>
      <c r="BA7" s="3"/>
      <c r="BB7" s="3"/>
      <c r="BC7" s="3"/>
      <c r="BD7" s="3"/>
      <c r="BE7" s="3"/>
      <c r="BF7" s="3"/>
      <c r="BG7" s="3"/>
    </row>
    <row r="8" spans="1:59" ht="12.75">
      <c r="A8" s="104"/>
      <c r="B8" s="121"/>
      <c r="C8" s="197">
        <v>2</v>
      </c>
      <c r="D8" s="196" t="str">
        <f>Vorrunde!AA10&amp;"  ("&amp;VLOOKUP(Vorrunde!AA10,$Y$4:$Z$19,2,FALSE)&amp;")"</f>
        <v>Tschechien  (CZE)</v>
      </c>
      <c r="E8" s="198"/>
      <c r="F8" s="198"/>
      <c r="G8" s="197">
        <v>2</v>
      </c>
      <c r="H8" s="196" t="str">
        <f>Vorrunde!AA21&amp;"  ("&amp;VLOOKUP(Vorrunde!AA21,$Y$4:$Z$19,2,FALSE)&amp;")"</f>
        <v>Kroatien  (CRO)</v>
      </c>
      <c r="I8" s="199"/>
      <c r="J8" s="200"/>
      <c r="K8" s="197">
        <v>2</v>
      </c>
      <c r="L8" s="197"/>
      <c r="M8" s="201" t="str">
        <f>Vorrunde!AA32&amp;"  ("&amp;VLOOKUP(Vorrunde!AA32,$Y$4:$Z$19,2,FALSE)&amp;")"</f>
        <v>Italien  (ITA)</v>
      </c>
      <c r="N8" s="199"/>
      <c r="O8" s="202"/>
      <c r="P8" s="200"/>
      <c r="Q8" s="197">
        <v>2</v>
      </c>
      <c r="R8" s="196" t="str">
        <f>Vorrunde!AA43&amp;"  ("&amp;VLOOKUP(Vorrunde!AA43,$Y$4:$Z$19,2,FALSE)&amp;")"</f>
        <v>Schweden  (SWE)</v>
      </c>
      <c r="S8" s="200"/>
      <c r="T8" s="115"/>
      <c r="U8" s="122"/>
      <c r="V8" s="3"/>
      <c r="Y8" s="171" t="str">
        <f>Vorrunde!CR6</f>
        <v>Österreich</v>
      </c>
      <c r="Z8" s="171" t="str">
        <f>Vorrunde!CS6</f>
        <v>AUT</v>
      </c>
      <c r="AG8" s="207"/>
      <c r="AH8" s="207"/>
      <c r="AI8" s="207"/>
      <c r="AJ8" s="207"/>
      <c r="AK8" s="207"/>
      <c r="AU8">
        <v>17</v>
      </c>
      <c r="AV8" s="181">
        <f>IF(COUNT(Vorrunde!U12:V12)&lt;&gt;2,"",Vorrunde!U12)</f>
      </c>
      <c r="AW8" s="181">
        <f>IF(COUNT(Vorrunde!U12:V12)&lt;&gt;2,"",Vorrunde!V12)</f>
      </c>
      <c r="BA8" s="3"/>
      <c r="BB8" s="3"/>
      <c r="BC8" s="3"/>
      <c r="BD8" s="3"/>
      <c r="BE8" s="3"/>
      <c r="BF8" s="3"/>
      <c r="BG8" s="3"/>
    </row>
    <row r="9" spans="1:59" ht="12.75">
      <c r="A9" s="104"/>
      <c r="B9" s="121"/>
      <c r="C9" s="203">
        <v>3</v>
      </c>
      <c r="D9" s="204" t="str">
        <f>Vorrunde!AA12&amp;"  ("&amp;VLOOKUP(Vorrunde!AA12,$Y$4:$Z$19,2,FALSE)&amp;")"</f>
        <v>Portugal  (POR)</v>
      </c>
      <c r="E9" s="205"/>
      <c r="F9" s="205"/>
      <c r="G9" s="203">
        <v>3</v>
      </c>
      <c r="H9" s="204" t="str">
        <f>Vorrunde!AA23&amp;"  ("&amp;VLOOKUP(Vorrunde!AA23,$Y$4:$Z$19,2,FALSE)&amp;")"</f>
        <v>Deutschland  (GER)</v>
      </c>
      <c r="I9" s="199"/>
      <c r="J9" s="200"/>
      <c r="K9" s="203">
        <v>3</v>
      </c>
      <c r="L9" s="203"/>
      <c r="M9" s="206" t="str">
        <f>Vorrunde!AA34&amp;"  ("&amp;VLOOKUP(Vorrunde!AA34,$Y$4:$Z$19,2,FALSE)&amp;")"</f>
        <v>Rumänien  (ROM)</v>
      </c>
      <c r="N9" s="199"/>
      <c r="O9" s="202"/>
      <c r="P9" s="200"/>
      <c r="Q9" s="203">
        <v>3</v>
      </c>
      <c r="R9" s="204" t="str">
        <f>Vorrunde!AA45&amp;"  ("&amp;VLOOKUP(Vorrunde!AA45,$Y$4:$Z$19,2,FALSE)&amp;")"</f>
        <v>Spanien  (ESP)</v>
      </c>
      <c r="S9" s="200"/>
      <c r="T9" s="115"/>
      <c r="U9" s="122"/>
      <c r="V9" s="3"/>
      <c r="Y9" s="171" t="str">
        <f>Vorrunde!CR7</f>
        <v>Kroatien</v>
      </c>
      <c r="Z9" s="171" t="str">
        <f>Vorrunde!CS7</f>
        <v>CRO</v>
      </c>
      <c r="AB9" t="s">
        <v>130</v>
      </c>
      <c r="AC9" t="b">
        <v>0</v>
      </c>
      <c r="AU9">
        <v>18</v>
      </c>
      <c r="AV9" s="181">
        <f>IF(COUNT(Vorrunde!U13:V13)&lt;&gt;2,"",Vorrunde!U13)</f>
      </c>
      <c r="AW9" s="181">
        <f>IF(COUNT(Vorrunde!U13:V13)&lt;&gt;2,"",Vorrunde!V13)</f>
      </c>
      <c r="BA9" s="3"/>
      <c r="BB9" s="3"/>
      <c r="BC9" s="3"/>
      <c r="BD9" s="3"/>
      <c r="BE9" s="3"/>
      <c r="BF9" s="3"/>
      <c r="BG9" s="3"/>
    </row>
    <row r="10" spans="1:59" ht="12.75">
      <c r="A10" s="104"/>
      <c r="B10" s="121"/>
      <c r="C10" s="203">
        <v>4</v>
      </c>
      <c r="D10" s="204" t="str">
        <f>Vorrunde!AA13&amp;"  ("&amp;VLOOKUP(Vorrunde!AA13,$Y$4:$Z$19,2,FALSE)&amp;")"</f>
        <v>Türkei  (TUR)</v>
      </c>
      <c r="E10" s="205"/>
      <c r="F10" s="205"/>
      <c r="G10" s="203">
        <v>4</v>
      </c>
      <c r="H10" s="204" t="str">
        <f>Vorrunde!AA24&amp;"  ("&amp;VLOOKUP(Vorrunde!AA24,$Y$4:$Z$19,2,FALSE)&amp;")"</f>
        <v>Polen  (POL)</v>
      </c>
      <c r="I10" s="199"/>
      <c r="J10" s="200"/>
      <c r="K10" s="203">
        <v>4</v>
      </c>
      <c r="L10" s="203"/>
      <c r="M10" s="206" t="str">
        <f>Vorrunde!AA35&amp;"  ("&amp;VLOOKUP(Vorrunde!AA35,$Y$4:$Z$19,2,FALSE)&amp;")"</f>
        <v>Frankreich  (FRA)</v>
      </c>
      <c r="N10" s="199"/>
      <c r="O10" s="202"/>
      <c r="P10" s="200"/>
      <c r="Q10" s="203">
        <v>4</v>
      </c>
      <c r="R10" s="204" t="str">
        <f>Vorrunde!AA46&amp;"  ("&amp;VLOOKUP(Vorrunde!AA46,$Y$4:$Z$19,2,FALSE)&amp;")"</f>
        <v>Russland  (RUS)</v>
      </c>
      <c r="S10" s="200"/>
      <c r="T10" s="115"/>
      <c r="U10" s="122"/>
      <c r="V10" s="3"/>
      <c r="Y10" s="171" t="str">
        <f>Vorrunde!CR8</f>
        <v>Deutschland</v>
      </c>
      <c r="Z10" s="171" t="str">
        <f>Vorrunde!CS8</f>
        <v>GER</v>
      </c>
      <c r="AB10" t="s">
        <v>131</v>
      </c>
      <c r="AC10">
        <f>IF(AC9,6,0)</f>
        <v>0</v>
      </c>
      <c r="AU10">
        <v>3</v>
      </c>
      <c r="AV10" s="181">
        <f>IF(COUNT(Vorrunde!U19:V19)&lt;&gt;2,"",Vorrunde!U19)</f>
      </c>
      <c r="AW10" s="181">
        <f>IF(COUNT(Vorrunde!U19:V19)&lt;&gt;2,"",Vorrunde!V19)</f>
      </c>
      <c r="BA10" s="3"/>
      <c r="BB10" s="3"/>
      <c r="BC10" s="3"/>
      <c r="BD10" s="3"/>
      <c r="BE10" s="3"/>
      <c r="BF10" s="3"/>
      <c r="BG10" s="3"/>
    </row>
    <row r="11" spans="1:59" ht="9.75" customHeight="1" thickBot="1">
      <c r="A11" s="104"/>
      <c r="B11" s="123"/>
      <c r="C11" s="124"/>
      <c r="D11" s="125"/>
      <c r="E11" s="125"/>
      <c r="F11" s="125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8"/>
      <c r="V11" s="3"/>
      <c r="Y11" s="171" t="str">
        <f>Vorrunde!CR9</f>
        <v>Polen</v>
      </c>
      <c r="Z11" s="171" t="str">
        <f>Vorrunde!CS9</f>
        <v>POL</v>
      </c>
      <c r="AB11" t="s">
        <v>132</v>
      </c>
      <c r="AC11">
        <f>IF(AC9,2,16)</f>
        <v>16</v>
      </c>
      <c r="AU11">
        <v>4</v>
      </c>
      <c r="AV11" s="181">
        <f>IF(COUNT(Vorrunde!U20:V20)&lt;&gt;2,"",Vorrunde!U20)</f>
      </c>
      <c r="AW11" s="181">
        <f>IF(COUNT(Vorrunde!U20:V20)&lt;&gt;2,"",Vorrunde!V20)</f>
      </c>
      <c r="BA11" s="3"/>
      <c r="BB11" s="3"/>
      <c r="BC11" s="3"/>
      <c r="BD11" s="3"/>
      <c r="BE11" s="3"/>
      <c r="BF11" s="3"/>
      <c r="BG11" s="3"/>
    </row>
    <row r="12" spans="1:59" ht="7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3"/>
      <c r="U12" s="3"/>
      <c r="V12" s="3"/>
      <c r="Y12" s="171" t="str">
        <f>Vorrunde!CR10</f>
        <v>Niederlande</v>
      </c>
      <c r="Z12" s="171" t="str">
        <f>Vorrunde!CS10</f>
        <v>NED</v>
      </c>
      <c r="AJ12" t="s">
        <v>133</v>
      </c>
      <c r="AU12">
        <v>11</v>
      </c>
      <c r="AV12" s="181">
        <f>IF(COUNT(Vorrunde!U21:V21)&lt;&gt;2,"",Vorrunde!U21)</f>
      </c>
      <c r="AW12" s="181">
        <f>IF(COUNT(Vorrunde!U21:V21)&lt;&gt;2,"",Vorrunde!V21)</f>
      </c>
      <c r="BA12" s="3"/>
      <c r="BB12" s="3"/>
      <c r="BC12" s="3"/>
      <c r="BD12" s="3"/>
      <c r="BE12" s="3"/>
      <c r="BF12" s="3"/>
      <c r="BG12" s="3"/>
    </row>
    <row r="13" spans="1:59" ht="18" customHeight="1">
      <c r="A13" s="103"/>
      <c r="B13" s="129"/>
      <c r="C13" s="130" t="s">
        <v>118</v>
      </c>
      <c r="D13" s="131"/>
      <c r="E13" s="131"/>
      <c r="F13" s="131"/>
      <c r="G13" s="131"/>
      <c r="H13" s="131"/>
      <c r="I13" s="131"/>
      <c r="J13" s="402" t="s">
        <v>140</v>
      </c>
      <c r="K13" s="403"/>
      <c r="L13" s="131"/>
      <c r="M13" s="259">
        <f>IF(OR(NOT(AC5),AC3=0),"",IF(COUNTIF(AB15:AB25,"&lt;0")=0,"","Um die Elfmeterwette gewinnen zu können, "&amp;IF(AC7=2,"muss ein Sieger getippt werden!","muss ein Remis getippt werden!")))</f>
      </c>
      <c r="N13" s="131"/>
      <c r="O13" s="131"/>
      <c r="P13" s="131"/>
      <c r="Q13" s="131"/>
      <c r="R13" s="131"/>
      <c r="S13" s="131"/>
      <c r="T13" s="230"/>
      <c r="U13" s="132"/>
      <c r="V13" s="3"/>
      <c r="Y13" s="171" t="str">
        <f>Vorrunde!CR11</f>
        <v>Italien</v>
      </c>
      <c r="Z13" s="171" t="str">
        <f>Vorrunde!CS11</f>
        <v>ITA</v>
      </c>
      <c r="AU13">
        <v>12</v>
      </c>
      <c r="AV13" s="181">
        <f>IF(COUNT(Vorrunde!U22:V22)&lt;&gt;2,"",Vorrunde!U22)</f>
      </c>
      <c r="AW13" s="181">
        <f>IF(COUNT(Vorrunde!U22:V22)&lt;&gt;2,"",Vorrunde!V22)</f>
      </c>
      <c r="BA13" s="3"/>
      <c r="BB13" s="3"/>
      <c r="BC13" s="3"/>
      <c r="BD13" s="3"/>
      <c r="BE13" s="3"/>
      <c r="BF13" s="3"/>
      <c r="BG13" s="3"/>
    </row>
    <row r="14" spans="1:59" ht="24" customHeight="1">
      <c r="A14" s="103"/>
      <c r="B14" s="133"/>
      <c r="C14" s="116" t="s">
        <v>136</v>
      </c>
      <c r="D14" s="408" t="s">
        <v>120</v>
      </c>
      <c r="E14" s="408"/>
      <c r="F14" s="408"/>
      <c r="G14" s="407" t="s">
        <v>116</v>
      </c>
      <c r="H14" s="407"/>
      <c r="I14" s="111"/>
      <c r="J14" s="404"/>
      <c r="K14" s="404"/>
      <c r="L14" s="111"/>
      <c r="M14" s="401" t="s">
        <v>100</v>
      </c>
      <c r="N14" s="401"/>
      <c r="O14" s="213" t="s">
        <v>101</v>
      </c>
      <c r="P14" s="111"/>
      <c r="Q14" s="213">
        <f>IF(AC9,"Sieger","")</f>
      </c>
      <c r="R14" s="232"/>
      <c r="S14" s="116" t="s">
        <v>117</v>
      </c>
      <c r="T14" s="223"/>
      <c r="U14" s="134"/>
      <c r="V14" s="3"/>
      <c r="Y14" s="171" t="str">
        <f>Vorrunde!CR12</f>
        <v>Rumänien</v>
      </c>
      <c r="Z14" s="171" t="str">
        <f>Vorrunde!CS12</f>
        <v>ROM</v>
      </c>
      <c r="AA14" t="s">
        <v>138</v>
      </c>
      <c r="AB14" t="s">
        <v>101</v>
      </c>
      <c r="AC14" t="s">
        <v>137</v>
      </c>
      <c r="AD14" t="s">
        <v>127</v>
      </c>
      <c r="AG14" t="s">
        <v>129</v>
      </c>
      <c r="AH14" t="s">
        <v>139</v>
      </c>
      <c r="AS14" s="12"/>
      <c r="AU14">
        <v>19</v>
      </c>
      <c r="AV14" s="181">
        <f>IF(COUNT(Vorrunde!U23:V23)&lt;&gt;2,"",Vorrunde!U23)</f>
      </c>
      <c r="AW14" s="181">
        <f>IF(COUNT(Vorrunde!U23:V23)&lt;&gt;2,"",Vorrunde!V23)</f>
      </c>
      <c r="BA14" s="3"/>
      <c r="BB14" s="3"/>
      <c r="BC14" s="3"/>
      <c r="BD14" s="3"/>
      <c r="BE14" s="3"/>
      <c r="BF14" s="3"/>
      <c r="BG14" s="3"/>
    </row>
    <row r="15" spans="1:59" ht="24" customHeight="1">
      <c r="A15" s="103"/>
      <c r="B15" s="110"/>
      <c r="C15" s="138" t="s">
        <v>93</v>
      </c>
      <c r="D15" s="405" t="s">
        <v>190</v>
      </c>
      <c r="E15" s="406"/>
      <c r="F15" s="406"/>
      <c r="G15" s="139" t="s">
        <v>102</v>
      </c>
      <c r="H15" s="140" t="s">
        <v>103</v>
      </c>
      <c r="I15" s="111"/>
      <c r="J15" s="190"/>
      <c r="K15" s="234" t="s">
        <v>971</v>
      </c>
      <c r="L15" s="116"/>
      <c r="M15" s="225"/>
      <c r="N15" s="172"/>
      <c r="O15" s="184"/>
      <c r="P15" s="111"/>
      <c r="Q15" s="231">
        <f>IF($AB$15&lt;0,"( F )","")</f>
      </c>
      <c r="R15" s="111"/>
      <c r="S15" s="301" t="s">
        <v>971</v>
      </c>
      <c r="T15" s="223"/>
      <c r="U15" s="134"/>
      <c r="V15" s="3"/>
      <c r="Y15" s="171" t="str">
        <f>Vorrunde!CR13</f>
        <v>Frankreich</v>
      </c>
      <c r="Z15" s="171" t="str">
        <f>Vorrunde!CS13</f>
        <v>FRA</v>
      </c>
      <c r="AA15">
        <f>IF($AC$9,AS15,0)</f>
        <v>0</v>
      </c>
      <c r="AB15">
        <f>IF(LEN(O15)=0,1,IF(OR(COUNT(M15:N15)&lt;&gt;2,$AC$3=0),-1,IF(AND($AC$5,M15=N15,$AC$7=2),-1,IF(AND($AC$5,M15&lt;&gt;N15,$AC$7&lt;&gt;2),-1,1))))</f>
        <v>1</v>
      </c>
      <c r="AC15">
        <f ca="1">IF(OR(COUNT(M15:N15)&lt;&gt;2,$AC$3=0),"",IF(LEN(O15)=0,"",IF(ISERROR(MATCH(O15,OFFSET($AF$2:$AF$5,0,AA15),0)),"",IF(NOT($AC$4),-1,IF(ISERROR(MATCH(O15,OFFSET($AF$4:$AF$5,0,AA15),0)),"",MATCH(O15,OFFSET($AF$4:$AF$5,0,AA15),0))))))</f>
      </c>
      <c r="AD15" t="s">
        <v>128</v>
      </c>
      <c r="AE15">
        <f>IF(AC4,2,0)</f>
        <v>2</v>
      </c>
      <c r="AG15" s="181">
        <f>IF(COUNT(M15:N15)&lt;&gt;2,"",IF(M15&gt;N15,J15,IF(M15&lt;N15,K15,IF(OR(LEN(AC15)=0,AC15&lt;=0),"",INDEX(J15:K15,AC15)))))</f>
      </c>
      <c r="AH15" t="b">
        <f>IF(OR(LEN(AG15)=0,LEN(Q15)=0),FALSE,IF(Q15=AG15,FALSE,TRUE))</f>
        <v>0</v>
      </c>
      <c r="AJ15" s="214" t="str">
        <f>$AG$4</f>
        <v>SUI</v>
      </c>
      <c r="AK15" s="215" t="str">
        <f>$AG$5</f>
        <v>CRO</v>
      </c>
      <c r="AL15" s="111"/>
      <c r="AM15" s="225"/>
      <c r="AN15" s="172"/>
      <c r="AO15" s="208"/>
      <c r="AP15" s="251"/>
      <c r="AQ15" s="247"/>
      <c r="AR15" s="231" t="str">
        <f ca="1">IF(OR($AH15,$AB15&lt;0,AND(LEN($AG15)=0,ISERROR(MATCH(AQ15,OFFSET($AF$4:$AF$5,0,$AS15),0)))),"( F )","")</f>
        <v>( F )</v>
      </c>
      <c r="AS15" s="12">
        <v>1</v>
      </c>
      <c r="AU15">
        <v>20</v>
      </c>
      <c r="AV15" s="181">
        <f>IF(COUNT(Vorrunde!U24:V24)&lt;&gt;2,"",Vorrunde!U24)</f>
      </c>
      <c r="AW15" s="181">
        <f>IF(COUNT(Vorrunde!U24:V24)&lt;&gt;2,"",Vorrunde!V24)</f>
      </c>
      <c r="BA15" s="3"/>
      <c r="BB15" s="3"/>
      <c r="BC15" s="3"/>
      <c r="BD15" s="3"/>
      <c r="BE15" s="3"/>
      <c r="BF15" s="3"/>
      <c r="BG15" s="3"/>
    </row>
    <row r="16" spans="1:59" ht="24" customHeight="1">
      <c r="A16" s="103"/>
      <c r="B16" s="110"/>
      <c r="C16" s="141" t="s">
        <v>94</v>
      </c>
      <c r="D16" s="389" t="s">
        <v>191</v>
      </c>
      <c r="E16" s="390"/>
      <c r="F16" s="390"/>
      <c r="G16" s="112" t="s">
        <v>104</v>
      </c>
      <c r="H16" s="142" t="s">
        <v>105</v>
      </c>
      <c r="I16" s="111"/>
      <c r="J16" s="191"/>
      <c r="K16" s="235" t="s">
        <v>971</v>
      </c>
      <c r="L16" s="116"/>
      <c r="M16" s="226"/>
      <c r="N16" s="173"/>
      <c r="O16" s="185"/>
      <c r="P16" s="111"/>
      <c r="Q16" s="231">
        <f>IF($AB$16&lt;0,"( F )","")</f>
      </c>
      <c r="R16" s="111"/>
      <c r="S16" s="302" t="s">
        <v>971</v>
      </c>
      <c r="T16" s="223"/>
      <c r="U16" s="134"/>
      <c r="V16" s="3"/>
      <c r="Y16" s="171" t="str">
        <f>Vorrunde!CR14</f>
        <v>Griechenland</v>
      </c>
      <c r="Z16" s="171" t="str">
        <f>Vorrunde!CS14</f>
        <v>GRE</v>
      </c>
      <c r="AA16">
        <f>IF($AC$9,AS16,0)</f>
        <v>0</v>
      </c>
      <c r="AB16">
        <f>IF(LEN(O16)=0,1,IF(OR(COUNT(M16:N16)&lt;&gt;2,$AC$3=0),-1,IF(AND($AC$5,M16=N16,$AC$7=2),-1,IF(AND($AC$5,M16&lt;&gt;N16,$AC$7&lt;&gt;2),-1,1))))</f>
        <v>1</v>
      </c>
      <c r="AC16">
        <f ca="1">IF(OR(COUNT(M16:N16)&lt;&gt;2,$AC$3=0),"",IF(LEN(O16)=0,"",IF(ISERROR(MATCH(O16,OFFSET($AF$2:$AF$5,0,AA16),0)),"",IF(NOT($AC$4),-1,IF(ISERROR(MATCH(O16,OFFSET($AF$4:$AF$5,0,AA16),0)),"",MATCH(O16,OFFSET($AF$4:$AF$5,0,AA16),0))))))</f>
      </c>
      <c r="AD16" t="s">
        <v>126</v>
      </c>
      <c r="AE16">
        <f>IF(AC3=0,1,IF(NOT(AC4),2,IF(AC9,3,3)))</f>
        <v>1</v>
      </c>
      <c r="AG16" s="181">
        <f>IF(COUNT(M16:N16)&lt;&gt;2,"",IF(M16&gt;N16,J16,IF(M16&lt;N16,K16,IF(OR(LEN(AC16)=0,AC16&lt;=0),"",INDEX(J16:K16,AC16)))))</f>
      </c>
      <c r="AH16" t="b">
        <f>IF(OR(LEN(AG16)=0,LEN(Q16)=0),FALSE,IF(Q16=AG16,FALSE,TRUE))</f>
        <v>0</v>
      </c>
      <c r="AJ16" s="216" t="str">
        <f>$AH$4</f>
        <v>AUT</v>
      </c>
      <c r="AK16" s="217" t="str">
        <f>$AH$5</f>
        <v>CZE</v>
      </c>
      <c r="AL16" s="111"/>
      <c r="AM16" s="226"/>
      <c r="AN16" s="173"/>
      <c r="AO16" s="209"/>
      <c r="AP16" s="251"/>
      <c r="AQ16" s="249"/>
      <c r="AR16" s="231" t="str">
        <f ca="1">IF(OR($AH16,$AB16&lt;0,AND(LEN($AG16)=0,ISERROR(MATCH(AQ16,OFFSET($AF$4:$AF$5,0,$AS16),0)))),"( F )","")</f>
        <v>( F )</v>
      </c>
      <c r="AS16" s="12">
        <v>2</v>
      </c>
      <c r="AU16">
        <v>5</v>
      </c>
      <c r="AV16" s="181">
        <f>IF(COUNT(Vorrunde!U30:V30)&lt;&gt;2,"",Vorrunde!U30)</f>
      </c>
      <c r="AW16" s="181">
        <f>IF(COUNT(Vorrunde!U30:V30)&lt;&gt;2,"",Vorrunde!V30)</f>
      </c>
      <c r="BA16" s="3"/>
      <c r="BB16" s="3"/>
      <c r="BC16" s="3"/>
      <c r="BD16" s="3"/>
      <c r="BE16" s="3"/>
      <c r="BF16" s="3"/>
      <c r="BG16" s="3"/>
    </row>
    <row r="17" spans="1:59" ht="24" customHeight="1">
      <c r="A17" s="103"/>
      <c r="B17" s="110"/>
      <c r="C17" s="141" t="s">
        <v>95</v>
      </c>
      <c r="D17" s="389" t="s">
        <v>192</v>
      </c>
      <c r="E17" s="390"/>
      <c r="F17" s="390"/>
      <c r="G17" s="112" t="s">
        <v>106</v>
      </c>
      <c r="H17" s="142" t="s">
        <v>107</v>
      </c>
      <c r="I17" s="111"/>
      <c r="J17" s="191"/>
      <c r="K17" s="235" t="s">
        <v>971</v>
      </c>
      <c r="L17" s="116"/>
      <c r="M17" s="226"/>
      <c r="N17" s="173"/>
      <c r="O17" s="185"/>
      <c r="P17" s="111"/>
      <c r="Q17" s="231">
        <f>IF($AB$17&lt;0,"( F )","")</f>
      </c>
      <c r="R17" s="111"/>
      <c r="S17" s="302" t="s">
        <v>971</v>
      </c>
      <c r="T17" s="223"/>
      <c r="U17" s="134"/>
      <c r="V17" s="3"/>
      <c r="Y17" s="171" t="str">
        <f>Vorrunde!CR15</f>
        <v>Schweden</v>
      </c>
      <c r="Z17" s="171" t="str">
        <f>Vorrunde!CS15</f>
        <v>SWE</v>
      </c>
      <c r="AA17">
        <f>IF($AC$9,AS17,0)</f>
        <v>0</v>
      </c>
      <c r="AB17">
        <f>IF(LEN(O17)=0,1,IF(OR(COUNT(M17:N17)&lt;&gt;2,$AC$3=0),-1,IF(AND($AC$5,M17=N17,$AC$7=2),-1,IF(AND($AC$5,M17&lt;&gt;N17,$AC$7&lt;&gt;2),-1,1))))</f>
        <v>1</v>
      </c>
      <c r="AC17">
        <f ca="1">IF(OR(COUNT(M17:N17)&lt;&gt;2,$AC$3=0),"",IF(LEN(O17)=0,"",IF(ISERROR(MATCH(O17,OFFSET($AF$2:$AF$5,0,AA17),0)),"",IF(NOT($AC$4),-1,IF(ISERROR(MATCH(O17,OFFSET($AF$4:$AF$5,0,AA17),0)),"",MATCH(O17,OFFSET($AF$4:$AF$5,0,AA17),0))))))</f>
      </c>
      <c r="AG17" s="181">
        <f>IF(COUNT(M17:N17)&lt;&gt;2,"",IF(M17&gt;N17,J17,IF(M17&lt;N17,K17,IF(OR(LEN(AC17)=0,AC17&lt;=0),"",INDEX(J17:K17,AC17)))))</f>
      </c>
      <c r="AH17" t="b">
        <f>IF(OR(LEN(AG17)=0,LEN(Q17)=0),FALSE,IF(Q17=AG17,FALSE,TRUE))</f>
        <v>0</v>
      </c>
      <c r="AJ17" s="216" t="str">
        <f>$AI$4</f>
        <v>NED</v>
      </c>
      <c r="AK17" s="217" t="str">
        <f>$AI$5</f>
        <v>SWE</v>
      </c>
      <c r="AL17" s="111"/>
      <c r="AM17" s="226"/>
      <c r="AN17" s="173"/>
      <c r="AO17" s="209"/>
      <c r="AP17" s="251"/>
      <c r="AQ17" s="249"/>
      <c r="AR17" s="231" t="str">
        <f ca="1">IF(OR($AH17,$AB17&lt;0,AND(LEN($AG17)=0,ISERROR(MATCH(AQ17,OFFSET($AF$4:$AF$5,0,$AS17),0)))),"( F )","")</f>
        <v>( F )</v>
      </c>
      <c r="AS17" s="12">
        <v>3</v>
      </c>
      <c r="AU17">
        <v>6</v>
      </c>
      <c r="AV17" s="181">
        <f>IF(COUNT(Vorrunde!U31:V31)&lt;&gt;2,"",Vorrunde!U31)</f>
      </c>
      <c r="AW17" s="181">
        <f>IF(COUNT(Vorrunde!U31:V31)&lt;&gt;2,"",Vorrunde!V31)</f>
      </c>
      <c r="BA17" s="3"/>
      <c r="BB17" s="3"/>
      <c r="BC17" s="3"/>
      <c r="BD17" s="3"/>
      <c r="BE17" s="3"/>
      <c r="BF17" s="3"/>
      <c r="BG17" s="3"/>
    </row>
    <row r="18" spans="1:59" ht="24" customHeight="1">
      <c r="A18" s="103"/>
      <c r="B18" s="110"/>
      <c r="C18" s="143" t="s">
        <v>96</v>
      </c>
      <c r="D18" s="397" t="s">
        <v>193</v>
      </c>
      <c r="E18" s="398"/>
      <c r="F18" s="398"/>
      <c r="G18" s="144" t="s">
        <v>108</v>
      </c>
      <c r="H18" s="145" t="s">
        <v>109</v>
      </c>
      <c r="I18" s="111"/>
      <c r="J18" s="192"/>
      <c r="K18" s="236" t="s">
        <v>971</v>
      </c>
      <c r="L18" s="116"/>
      <c r="M18" s="227"/>
      <c r="N18" s="174"/>
      <c r="O18" s="186"/>
      <c r="P18" s="111"/>
      <c r="Q18" s="231">
        <f>IF($AB$18&lt;0,"( F )","")</f>
      </c>
      <c r="R18" s="111"/>
      <c r="S18" s="303" t="s">
        <v>971</v>
      </c>
      <c r="T18" s="223"/>
      <c r="U18" s="134"/>
      <c r="V18" s="3"/>
      <c r="Y18" s="171" t="str">
        <f>Vorrunde!CR16</f>
        <v>Spanien</v>
      </c>
      <c r="Z18" s="171" t="str">
        <f>Vorrunde!CS16</f>
        <v>ESP</v>
      </c>
      <c r="AA18">
        <f>IF($AC$9,AS18,0)</f>
        <v>0</v>
      </c>
      <c r="AB18">
        <f>IF(LEN(O18)=0,1,IF(OR(COUNT(M18:N18)&lt;&gt;2,$AC$3=0),-1,IF(AND($AC$5,M18=N18,$AC$7=2),-1,IF(AND($AC$5,M18&lt;&gt;N18,$AC$7&lt;&gt;2),-1,1))))</f>
        <v>1</v>
      </c>
      <c r="AC18">
        <f ca="1">IF(OR(COUNT(M18:N18)&lt;&gt;2,$AC$3=0),"",IF(LEN(O18)=0,"",IF(ISERROR(MATCH(O18,OFFSET($AF$2:$AF$5,0,AA18),0)),"",IF(NOT($AC$4),-1,IF(ISERROR(MATCH(O18,OFFSET($AF$4:$AF$5,0,AA18),0)),"",MATCH(O18,OFFSET($AF$4:$AF$5,0,AA18),0))))))</f>
      </c>
      <c r="AG18" s="181">
        <f>IF(COUNT(M18:N18)&lt;&gt;2,"",IF(M18&gt;N18,J18,IF(M18&lt;N18,K18,IF(OR(LEN(AC18)=0,AC18&lt;=0),"",INDEX(J18:K18,AC18)))))</f>
      </c>
      <c r="AH18" t="b">
        <f>IF(OR(LEN(AG18)=0,LEN(Q18)=0),FALSE,IF(Q18=AG18,FALSE,TRUE))</f>
        <v>0</v>
      </c>
      <c r="AJ18" s="218" t="str">
        <f>$AJ$4</f>
        <v>GRE</v>
      </c>
      <c r="AK18" s="219" t="str">
        <f>$AJ$5</f>
        <v>ITA</v>
      </c>
      <c r="AL18" s="111"/>
      <c r="AM18" s="227"/>
      <c r="AN18" s="174"/>
      <c r="AO18" s="210"/>
      <c r="AP18" s="251"/>
      <c r="AQ18" s="249"/>
      <c r="AR18" s="231" t="str">
        <f ca="1">IF(OR($AH18,$AB18&lt;0,AND(LEN($AG18)=0,ISERROR(MATCH(AQ18,OFFSET($AF$4:$AF$5,0,$AS18),0)))),"( F )","")</f>
        <v>( F )</v>
      </c>
      <c r="AS18" s="12">
        <v>4</v>
      </c>
      <c r="AU18">
        <v>13</v>
      </c>
      <c r="AV18" s="181">
        <f>IF(COUNT(Vorrunde!U32:V32)&lt;&gt;2,"",Vorrunde!U32)</f>
      </c>
      <c r="AW18" s="181">
        <f>IF(COUNT(Vorrunde!U32:V32)&lt;&gt;2,"",Vorrunde!V32)</f>
      </c>
      <c r="BA18" s="3"/>
      <c r="BB18" s="3"/>
      <c r="BC18" s="3"/>
      <c r="BD18" s="3"/>
      <c r="BE18" s="3"/>
      <c r="BF18" s="3"/>
      <c r="BG18" s="3"/>
    </row>
    <row r="19" spans="1:59" ht="9.75" customHeight="1">
      <c r="A19" s="103"/>
      <c r="B19" s="110"/>
      <c r="C19" s="107"/>
      <c r="D19" s="107"/>
      <c r="E19" s="107"/>
      <c r="F19" s="107"/>
      <c r="G19" s="108"/>
      <c r="H19" s="109"/>
      <c r="I19" s="111"/>
      <c r="J19" s="255"/>
      <c r="K19" s="256"/>
      <c r="L19" s="116"/>
      <c r="M19" s="252"/>
      <c r="N19" s="252"/>
      <c r="O19" s="252"/>
      <c r="P19" s="111"/>
      <c r="Q19" s="231"/>
      <c r="R19" s="111"/>
      <c r="S19" s="288"/>
      <c r="T19" s="223"/>
      <c r="U19" s="134"/>
      <c r="V19" s="3"/>
      <c r="Y19" s="171" t="str">
        <f>Vorrunde!CR17</f>
        <v>Russland</v>
      </c>
      <c r="Z19" s="171" t="str">
        <f>Vorrunde!CS17</f>
        <v>RUS</v>
      </c>
      <c r="AJ19" s="111"/>
      <c r="AK19" s="224"/>
      <c r="AL19" s="111"/>
      <c r="AM19" s="252"/>
      <c r="AN19" s="252"/>
      <c r="AO19" s="252"/>
      <c r="AP19" s="251"/>
      <c r="AQ19" s="253"/>
      <c r="AR19" s="231"/>
      <c r="AS19" s="12"/>
      <c r="AU19">
        <v>14</v>
      </c>
      <c r="AV19" s="181">
        <f>IF(COUNT(Vorrunde!U33:V33)&lt;&gt;2,"",Vorrunde!U33)</f>
      </c>
      <c r="AW19" s="181">
        <f>IF(COUNT(Vorrunde!U33:V33)&lt;&gt;2,"",Vorrunde!V33)</f>
      </c>
      <c r="BA19" s="3"/>
      <c r="BB19" s="3"/>
      <c r="BC19" s="3"/>
      <c r="BD19" s="3"/>
      <c r="BE19" s="3"/>
      <c r="BF19" s="3"/>
      <c r="BG19" s="3"/>
    </row>
    <row r="20" spans="1:59" ht="9.75" customHeight="1">
      <c r="A20" s="103"/>
      <c r="B20" s="110"/>
      <c r="C20" s="107"/>
      <c r="D20" s="107"/>
      <c r="E20" s="107"/>
      <c r="F20" s="107"/>
      <c r="G20" s="108"/>
      <c r="H20" s="109"/>
      <c r="I20" s="111"/>
      <c r="J20" s="255"/>
      <c r="K20" s="256"/>
      <c r="L20" s="116"/>
      <c r="M20" s="252"/>
      <c r="N20" s="252"/>
      <c r="O20" s="252"/>
      <c r="P20" s="111"/>
      <c r="Q20" s="231"/>
      <c r="R20" s="111"/>
      <c r="S20" s="288"/>
      <c r="T20" s="223"/>
      <c r="U20" s="134"/>
      <c r="V20" s="3"/>
      <c r="Y20" s="171"/>
      <c r="Z20" s="171"/>
      <c r="AJ20" s="111"/>
      <c r="AK20" s="224"/>
      <c r="AL20" s="111"/>
      <c r="AM20" s="252"/>
      <c r="AN20" s="252"/>
      <c r="AO20" s="252"/>
      <c r="AP20" s="251"/>
      <c r="AQ20" s="253"/>
      <c r="AR20" s="231"/>
      <c r="AS20" s="12"/>
      <c r="AU20">
        <v>21</v>
      </c>
      <c r="AV20" s="181">
        <f>IF(COUNT(Vorrunde!U34:V34)&lt;&gt;2,"",Vorrunde!U34)</f>
      </c>
      <c r="AW20" s="181">
        <f>IF(COUNT(Vorrunde!U34:V34)&lt;&gt;2,"",Vorrunde!V34)</f>
      </c>
      <c r="BA20" s="3"/>
      <c r="BB20" s="3"/>
      <c r="BC20" s="3"/>
      <c r="BD20" s="3"/>
      <c r="BE20" s="3"/>
      <c r="BF20" s="3"/>
      <c r="BG20" s="3"/>
    </row>
    <row r="21" spans="1:59" ht="24" customHeight="1">
      <c r="A21" s="103"/>
      <c r="B21" s="110"/>
      <c r="C21" s="146" t="s">
        <v>97</v>
      </c>
      <c r="D21" s="393" t="s">
        <v>194</v>
      </c>
      <c r="E21" s="394"/>
      <c r="F21" s="394"/>
      <c r="G21" s="147" t="s">
        <v>110</v>
      </c>
      <c r="H21" s="148" t="s">
        <v>111</v>
      </c>
      <c r="I21" s="111"/>
      <c r="J21" s="178"/>
      <c r="K21" s="237" t="s">
        <v>971</v>
      </c>
      <c r="L21" s="116"/>
      <c r="M21" s="228"/>
      <c r="N21" s="175"/>
      <c r="O21" s="187"/>
      <c r="P21" s="111"/>
      <c r="Q21" s="231">
        <f>IF($AB$21&lt;0,"( F )","")</f>
      </c>
      <c r="R21" s="111"/>
      <c r="S21" s="304" t="s">
        <v>971</v>
      </c>
      <c r="T21" s="223"/>
      <c r="U21" s="134"/>
      <c r="V21" s="3"/>
      <c r="Y21" s="171"/>
      <c r="Z21" s="171"/>
      <c r="AA21">
        <f>IF($AC$9,AS21,0)</f>
        <v>0</v>
      </c>
      <c r="AB21">
        <f>IF(LEN(O21)=0,1,IF(OR(COUNT(M21:N21)&lt;&gt;2,$AC$3=0),-1,IF(AND($AC$5,M21=N21,$AC$7=2),-1,IF(AND($AC$5,M21&lt;&gt;N21,$AC$7&lt;&gt;2),-1,1))))</f>
        <v>1</v>
      </c>
      <c r="AC21">
        <f ca="1">IF(OR(COUNT(M21:N21)&lt;&gt;2,$AC$3=0),"",IF(LEN(O21)=0,"",IF(ISERROR(MATCH(O21,OFFSET($AF$2:$AF$5,0,AA21),0)),"",IF(NOT($AC$4),-1,IF(ISERROR(MATCH(O21,OFFSET($AF$4:$AF$5,0,AA21),0)),"",MATCH(O21,OFFSET($AF$4:$AF$5,0,AA21),0))))))</f>
      </c>
      <c r="AG21" s="181">
        <f>IF(COUNT(M21:N21)&lt;&gt;2,"",IF(M21&gt;N21,J21,IF(M21&lt;N21,K21,IF(OR(LEN(AC21)=0,AC21&lt;=0),"",INDEX(J21:K21,AC21)))))</f>
      </c>
      <c r="AH21" t="b">
        <f>IF(OR(LEN(AG21)=0,LEN(Q21)=0),FALSE,IF(Q21=AG21,FALSE,TRUE))</f>
        <v>0</v>
      </c>
      <c r="AJ21" s="220">
        <f>IF(LEN($AG15)&gt;0,$AG15,IF(LEN(AQ15)=0,"",AQ15))</f>
      </c>
      <c r="AK21" s="244">
        <f>IF(LEN($AG16)&gt;0,$AG16,IF(LEN(AQ16)=0,"",AQ16))</f>
      </c>
      <c r="AL21" s="111"/>
      <c r="AM21" s="228"/>
      <c r="AN21" s="175"/>
      <c r="AO21" s="211"/>
      <c r="AP21" s="251"/>
      <c r="AQ21" s="248"/>
      <c r="AR21" s="231" t="str">
        <f ca="1">IF(OR($AH21,$AB21&lt;0,AND(LEN($AG21)=0,ISERROR(MATCH(AQ21,OFFSET($AF$4:$AF$5,0,$AS21),0)))),"( F )","")</f>
        <v>( F )</v>
      </c>
      <c r="AS21" s="12">
        <v>5</v>
      </c>
      <c r="AU21">
        <v>22</v>
      </c>
      <c r="AV21" s="181">
        <f>IF(COUNT(Vorrunde!U35:V35)&lt;&gt;2,"",Vorrunde!U35)</f>
      </c>
      <c r="AW21" s="181">
        <f>IF(COUNT(Vorrunde!U35:V35)&lt;&gt;2,"",Vorrunde!V35)</f>
      </c>
      <c r="BA21" s="3"/>
      <c r="BB21" s="3"/>
      <c r="BC21" s="3"/>
      <c r="BD21" s="3"/>
      <c r="BE21" s="3"/>
      <c r="BF21" s="3"/>
      <c r="BG21" s="3"/>
    </row>
    <row r="22" spans="1:59" ht="24" customHeight="1">
      <c r="A22" s="103"/>
      <c r="B22" s="110"/>
      <c r="C22" s="149" t="s">
        <v>98</v>
      </c>
      <c r="D22" s="395" t="s">
        <v>195</v>
      </c>
      <c r="E22" s="396"/>
      <c r="F22" s="396"/>
      <c r="G22" s="150" t="s">
        <v>112</v>
      </c>
      <c r="H22" s="151" t="s">
        <v>113</v>
      </c>
      <c r="I22" s="111"/>
      <c r="J22" s="179"/>
      <c r="K22" s="238" t="s">
        <v>971</v>
      </c>
      <c r="L22" s="116"/>
      <c r="M22" s="229"/>
      <c r="N22" s="176"/>
      <c r="O22" s="188"/>
      <c r="P22" s="111"/>
      <c r="Q22" s="231">
        <f>IF($AB$22&lt;0,"( F )","")</f>
      </c>
      <c r="R22" s="111"/>
      <c r="S22" s="305" t="s">
        <v>971</v>
      </c>
      <c r="T22" s="223"/>
      <c r="U22" s="134"/>
      <c r="V22" s="3"/>
      <c r="Y22" s="171"/>
      <c r="Z22" s="171"/>
      <c r="AA22">
        <f>IF($AC$9,AS22,0)</f>
        <v>0</v>
      </c>
      <c r="AB22">
        <f>IF(LEN(O22)=0,1,IF(OR(COUNT(M22:N22)&lt;&gt;2,$AC$3=0),-1,IF(AND($AC$5,M22=N22,$AC$7=2),-1,IF(AND($AC$5,M22&lt;&gt;N22,$AC$7&lt;&gt;2),-1,1))))</f>
        <v>1</v>
      </c>
      <c r="AC22">
        <f ca="1">IF(OR(COUNT(M22:N22)&lt;&gt;2,$AC$3=0),"",IF(LEN(O22)=0,"",IF(ISERROR(MATCH(O22,OFFSET($AF$2:$AF$5,0,AA22),0)),"",IF(NOT($AC$4),-1,IF(ISERROR(MATCH(O22,OFFSET($AF$4:$AF$5,0,AA22),0)),"",MATCH(O22,OFFSET($AF$4:$AF$5,0,AA22),0))))))</f>
      </c>
      <c r="AG22" s="181">
        <f>IF(COUNT(M22:N22)&lt;&gt;2,"",IF(M22&gt;N22,J22,IF(M22&lt;N22,K22,IF(OR(LEN(AC22)=0,AC22&lt;=0),"",INDEX(J22:K22,AC22)))))</f>
      </c>
      <c r="AH22" t="b">
        <f>IF(OR(LEN(AG22)=0,LEN(Q22)=0),FALSE,IF(Q22=AG22,FALSE,TRUE))</f>
        <v>0</v>
      </c>
      <c r="AJ22" s="221">
        <f>IF(LEN($AG17)&gt;0,$AG17,IF(LEN(AQ17)=0,"",AQ17))</f>
      </c>
      <c r="AK22" s="245">
        <f>IF(LEN($AG18)&gt;0,$AG18,IF(LEN(AQ18)=0,"",AQ18))</f>
      </c>
      <c r="AL22" s="111"/>
      <c r="AM22" s="229"/>
      <c r="AN22" s="176"/>
      <c r="AO22" s="211"/>
      <c r="AP22" s="251"/>
      <c r="AQ22" s="250"/>
      <c r="AR22" s="231" t="str">
        <f ca="1">IF(OR($AH22,$AB22&lt;0,AND(LEN($AG22)=0,ISERROR(MATCH(AQ22,OFFSET($AF$4:$AF$5,0,$AS22),0)))),"( F )","")</f>
        <v>( F )</v>
      </c>
      <c r="AS22" s="12">
        <v>6</v>
      </c>
      <c r="AU22">
        <v>7</v>
      </c>
      <c r="AV22" s="181">
        <f>IF(COUNT(Vorrunde!U41:V41)&lt;&gt;2,"",Vorrunde!U41)</f>
      </c>
      <c r="AW22" s="181">
        <f>IF(COUNT(Vorrunde!U41:V41)&lt;&gt;2,"",Vorrunde!V41)</f>
      </c>
      <c r="BA22" s="3"/>
      <c r="BB22" s="3"/>
      <c r="BC22" s="3"/>
      <c r="BD22" s="3"/>
      <c r="BE22" s="3"/>
      <c r="BF22" s="3"/>
      <c r="BG22" s="3"/>
    </row>
    <row r="23" spans="1:59" ht="9.75" customHeight="1">
      <c r="A23" s="103"/>
      <c r="B23" s="110"/>
      <c r="C23" s="107"/>
      <c r="D23" s="107"/>
      <c r="E23" s="107"/>
      <c r="F23" s="107"/>
      <c r="G23" s="108"/>
      <c r="H23" s="109"/>
      <c r="I23" s="111"/>
      <c r="J23" s="255"/>
      <c r="K23" s="256"/>
      <c r="L23" s="116"/>
      <c r="M23" s="252"/>
      <c r="N23" s="252"/>
      <c r="O23" s="252"/>
      <c r="P23" s="111"/>
      <c r="Q23" s="231"/>
      <c r="R23" s="111"/>
      <c r="S23" s="288"/>
      <c r="T23" s="223"/>
      <c r="U23" s="134"/>
      <c r="V23" s="3"/>
      <c r="AJ23" s="182"/>
      <c r="AK23" s="183"/>
      <c r="AL23" s="111"/>
      <c r="AM23" s="252"/>
      <c r="AN23" s="252"/>
      <c r="AO23" s="252"/>
      <c r="AP23" s="251"/>
      <c r="AQ23" s="253"/>
      <c r="AR23" s="231"/>
      <c r="AS23" s="12"/>
      <c r="AU23">
        <v>8</v>
      </c>
      <c r="AV23" s="181">
        <f>IF(COUNT(Vorrunde!U42:V42)&lt;&gt;2,"",Vorrunde!U42)</f>
      </c>
      <c r="AW23" s="181">
        <f>IF(COUNT(Vorrunde!U42:V42)&lt;&gt;2,"",Vorrunde!V42)</f>
      </c>
      <c r="BA23" s="3"/>
      <c r="BB23" s="3"/>
      <c r="BC23" s="3"/>
      <c r="BD23" s="3"/>
      <c r="BE23" s="3"/>
      <c r="BF23" s="3"/>
      <c r="BG23" s="3"/>
    </row>
    <row r="24" spans="1:59" ht="9.75" customHeight="1">
      <c r="A24" s="103"/>
      <c r="B24" s="110"/>
      <c r="C24" s="107"/>
      <c r="D24" s="107"/>
      <c r="E24" s="107"/>
      <c r="F24" s="107"/>
      <c r="G24" s="108"/>
      <c r="H24" s="109"/>
      <c r="I24" s="111"/>
      <c r="J24" s="255"/>
      <c r="K24" s="256"/>
      <c r="L24" s="116"/>
      <c r="M24" s="252"/>
      <c r="N24" s="252"/>
      <c r="O24" s="252"/>
      <c r="P24" s="111"/>
      <c r="Q24" s="231"/>
      <c r="R24" s="111"/>
      <c r="S24" s="288"/>
      <c r="T24" s="223"/>
      <c r="U24" s="134"/>
      <c r="V24" s="3"/>
      <c r="AJ24" s="182"/>
      <c r="AK24" s="183"/>
      <c r="AL24" s="111"/>
      <c r="AM24" s="252"/>
      <c r="AN24" s="252"/>
      <c r="AO24" s="252"/>
      <c r="AP24" s="251"/>
      <c r="AQ24" s="253"/>
      <c r="AR24" s="231"/>
      <c r="AS24" s="12"/>
      <c r="AU24">
        <v>15</v>
      </c>
      <c r="AV24" s="181">
        <f>IF(COUNT(Vorrunde!U43:V43)&lt;&gt;2,"",Vorrunde!U43)</f>
      </c>
      <c r="AW24" s="181">
        <f>IF(COUNT(Vorrunde!U43:V43)&lt;&gt;2,"",Vorrunde!V43)</f>
      </c>
      <c r="BA24" s="3"/>
      <c r="BB24" s="3"/>
      <c r="BC24" s="3"/>
      <c r="BD24" s="3"/>
      <c r="BE24" s="3"/>
      <c r="BF24" s="3"/>
      <c r="BG24" s="3"/>
    </row>
    <row r="25" spans="1:59" ht="24" customHeight="1">
      <c r="A25" s="103"/>
      <c r="B25" s="110"/>
      <c r="C25" s="152" t="s">
        <v>197</v>
      </c>
      <c r="D25" s="391" t="s">
        <v>196</v>
      </c>
      <c r="E25" s="392"/>
      <c r="F25" s="392"/>
      <c r="G25" s="153" t="s">
        <v>114</v>
      </c>
      <c r="H25" s="154" t="s">
        <v>115</v>
      </c>
      <c r="I25" s="111"/>
      <c r="J25" s="180"/>
      <c r="K25" s="239" t="s">
        <v>971</v>
      </c>
      <c r="L25" s="116"/>
      <c r="M25" s="254"/>
      <c r="N25" s="177"/>
      <c r="O25" s="189"/>
      <c r="P25" s="111"/>
      <c r="Q25" s="231">
        <f>IF($AB$25&lt;0,"( F )","")</f>
      </c>
      <c r="R25" s="111"/>
      <c r="S25" s="306" t="s">
        <v>971</v>
      </c>
      <c r="T25" s="223"/>
      <c r="U25" s="134"/>
      <c r="V25" s="3"/>
      <c r="AA25">
        <f>IF($AC$9,AS25,0)</f>
        <v>0</v>
      </c>
      <c r="AB25">
        <f>IF(LEN(O25)=0,1,IF(OR(COUNT(M25:N25)&lt;&gt;2,$AC$3=0),-1,IF(AND($AC$5,M25=N25,$AC$7=2),-1,IF(AND($AC$5,M25&lt;&gt;N25,$AC$7&lt;&gt;2),-1,1))))</f>
        <v>1</v>
      </c>
      <c r="AC25">
        <f ca="1">IF(OR(COUNT(M25:N25)&lt;&gt;2,$AC$3=0),"",IF(LEN(O25)=0,"",IF(ISERROR(MATCH(O25,OFFSET($AF$2:$AF$5,0,AA25),0)),"",IF(NOT($AC$4),-1,IF(ISERROR(MATCH(O25,OFFSET($AF$4:$AF$5,0,AA25),0)),"",MATCH(O25,OFFSET($AF$4:$AF$5,0,AA25),0))))))</f>
      </c>
      <c r="AG25" s="181">
        <f>IF(COUNT(M25:N25)&lt;&gt;2,"",IF(M25&gt;N25,J25,IF(M25&lt;N25,K25,IF(OR(LEN(AC25)=0,AC25&lt;=0),"",INDEX(J25:K25,AC25)))))</f>
      </c>
      <c r="AH25" t="b">
        <f>IF(OR(LEN(AG25)=0,LEN(Q25)=0),FALSE,IF(Q25=AG25,FALSE,TRUE))</f>
        <v>0</v>
      </c>
      <c r="AJ25" s="222">
        <f>IF(LEN($AG21)&gt;0,$AG21,IF(LEN(AQ21)=0,"",AQ21))</f>
      </c>
      <c r="AK25" s="246">
        <f>IF(LEN($AG22)&gt;0,$AG22,IF(LEN(AQ22)=0,"",AQ22))</f>
      </c>
      <c r="AL25" s="111"/>
      <c r="AM25" s="254"/>
      <c r="AN25" s="177"/>
      <c r="AO25" s="212"/>
      <c r="AP25" s="251"/>
      <c r="AQ25" s="251"/>
      <c r="AR25" s="231">
        <f>IF($AB25&lt;0,"( F )","")</f>
      </c>
      <c r="AS25" s="12">
        <v>7</v>
      </c>
      <c r="AU25">
        <v>16</v>
      </c>
      <c r="AV25" s="181">
        <f>IF(COUNT(Vorrunde!U44:V44)&lt;&gt;2,"",Vorrunde!U44)</f>
      </c>
      <c r="AW25" s="181">
        <f>IF(COUNT(Vorrunde!U44:V44)&lt;&gt;2,"",Vorrunde!V44)</f>
      </c>
      <c r="BA25" s="3"/>
      <c r="BB25" s="3"/>
      <c r="BC25" s="3"/>
      <c r="BD25" s="3"/>
      <c r="BE25" s="3"/>
      <c r="BF25" s="3"/>
      <c r="BG25" s="3"/>
    </row>
    <row r="26" spans="1:59" ht="3.75" customHeight="1">
      <c r="A26" s="103"/>
      <c r="B26" s="133"/>
      <c r="C26" s="105"/>
      <c r="D26" s="105"/>
      <c r="E26" s="105"/>
      <c r="F26" s="105"/>
      <c r="G26" s="105"/>
      <c r="H26" s="105"/>
      <c r="I26" s="111"/>
      <c r="J26" s="111"/>
      <c r="K26" s="111"/>
      <c r="L26" s="111"/>
      <c r="M26" s="105"/>
      <c r="N26" s="105"/>
      <c r="O26" s="105"/>
      <c r="P26" s="111"/>
      <c r="Q26" s="111"/>
      <c r="R26" s="231"/>
      <c r="S26" s="106"/>
      <c r="T26" s="223"/>
      <c r="U26" s="134"/>
      <c r="V26" s="3"/>
      <c r="AJ26" s="111"/>
      <c r="AK26" s="111"/>
      <c r="AL26" s="111"/>
      <c r="AM26" s="105"/>
      <c r="AN26" s="105"/>
      <c r="AO26" s="105"/>
      <c r="AP26" s="111"/>
      <c r="AQ26" s="111"/>
      <c r="AR26" s="231"/>
      <c r="AS26" s="12"/>
      <c r="AU26">
        <v>23</v>
      </c>
      <c r="AV26" s="181">
        <f>IF(COUNT(Vorrunde!U45:V45)&lt;&gt;2,"",Vorrunde!U45)</f>
      </c>
      <c r="AW26" s="181">
        <f>IF(COUNT(Vorrunde!U45:V45)&lt;&gt;2,"",Vorrunde!V45)</f>
      </c>
      <c r="BA26" s="3"/>
      <c r="BB26" s="3"/>
      <c r="BC26" s="3"/>
      <c r="BD26" s="3"/>
      <c r="BE26" s="3"/>
      <c r="BF26" s="3"/>
      <c r="BG26" s="3"/>
    </row>
    <row r="27" spans="1:59" ht="7.5" customHeight="1" thickBot="1">
      <c r="A27" s="10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3"/>
      <c r="AR27" s="233"/>
      <c r="AU27">
        <v>24</v>
      </c>
      <c r="AV27" s="181">
        <f>IF(COUNT(Vorrunde!U46:V46)&lt;&gt;2,"",Vorrunde!U46)</f>
      </c>
      <c r="AW27" s="181">
        <f>IF(COUNT(Vorrunde!U46:V46)&lt;&gt;2,"",Vorrunde!V46)</f>
      </c>
      <c r="BA27" s="3"/>
      <c r="BB27" s="3"/>
      <c r="BC27" s="3"/>
      <c r="BD27" s="3"/>
      <c r="BE27" s="3"/>
      <c r="BF27" s="3"/>
      <c r="BG27" s="3"/>
    </row>
    <row r="28" spans="1:59" ht="6" customHeight="1">
      <c r="A28" s="10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R28" s="233"/>
      <c r="AU28">
        <v>25</v>
      </c>
      <c r="AV28" s="293">
        <f>IF(COUNT(M15:N15)&lt;&gt;2,"",M15)</f>
      </c>
      <c r="AW28" s="293">
        <f>IF(COUNT(M15:N15)&lt;&gt;2,"",N15)</f>
      </c>
      <c r="AX28" s="293">
        <f>AC15</f>
      </c>
      <c r="AY28">
        <f aca="true" t="shared" si="0" ref="AY28:AZ31">J15</f>
        <v>0</v>
      </c>
      <c r="AZ28">
        <f t="shared" si="0"/>
      </c>
      <c r="BA28" s="3"/>
      <c r="BB28" s="3"/>
      <c r="BC28" s="3"/>
      <c r="BD28" s="3"/>
      <c r="BE28" s="3"/>
      <c r="BF28" s="3"/>
      <c r="BG28" s="3"/>
    </row>
    <row r="29" spans="1:59" ht="12.75">
      <c r="A29" s="103"/>
      <c r="B29" s="3"/>
      <c r="C29" s="169" t="str">
        <f>IF(AC9,Y30,Y29)</f>
        <v>Beim Import werden die abgegebenen Tipps den Paarungen zugeordnet, die sich im Turnier aus den Vorgaben in der Spalte "Paarung allgemein" ergeben.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t="s">
        <v>134</v>
      </c>
      <c r="AU29">
        <v>26</v>
      </c>
      <c r="AV29" s="293">
        <f>IF(COUNT(M16:N16)&lt;&gt;2,"",M16)</f>
      </c>
      <c r="AW29" s="293">
        <f>IF(COUNT(M16:N16)&lt;&gt;2,"",N16)</f>
      </c>
      <c r="AX29" s="293">
        <f>AC16</f>
      </c>
      <c r="AY29">
        <f t="shared" si="0"/>
        <v>0</v>
      </c>
      <c r="AZ29">
        <f t="shared" si="0"/>
      </c>
      <c r="BA29" s="3"/>
      <c r="BB29" s="3"/>
      <c r="BC29" s="3"/>
      <c r="BD29" s="3"/>
      <c r="BE29" s="3"/>
      <c r="BF29" s="3"/>
      <c r="BG29" s="3"/>
    </row>
    <row r="30" spans="1:59" ht="12.75">
      <c r="A30" s="103"/>
      <c r="B30" s="3"/>
      <c r="C30" s="169" t="str">
        <f>IF(AC9,"","Vom vorgegebenen Spielplan abweichende Angaben in der Spalte 'resultierende Paarungen'  haben keinen Einfluss auf die Zuordnung der Tipps beim Importieren.")</f>
        <v>Vom vorgegebenen Spielplan abweichende Angaben in der Spalte 'resultierende Paarungen'  haben keinen Einfluss auf die Zuordnung der Tipps beim Importieren.</v>
      </c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t="s">
        <v>141</v>
      </c>
      <c r="AJ30" s="190"/>
      <c r="AK30" s="234" t="s">
        <v>971</v>
      </c>
      <c r="AL30" s="116"/>
      <c r="AM30" s="225"/>
      <c r="AN30" s="172"/>
      <c r="AO30" s="184"/>
      <c r="AP30" s="111"/>
      <c r="AQ30" s="231">
        <f>IF($AB$15&lt;0,"( F )","")</f>
      </c>
      <c r="AR30" s="111"/>
      <c r="AU30">
        <v>27</v>
      </c>
      <c r="AV30" s="293">
        <f>IF(COUNT(M17:N17)&lt;&gt;2,"",M17)</f>
      </c>
      <c r="AW30" s="293">
        <f>IF(COUNT(M17:N17)&lt;&gt;2,"",N17)</f>
      </c>
      <c r="AX30" s="293">
        <f>AC17</f>
      </c>
      <c r="AY30">
        <f t="shared" si="0"/>
        <v>0</v>
      </c>
      <c r="AZ30">
        <f t="shared" si="0"/>
      </c>
      <c r="BA30" s="3"/>
      <c r="BB30" s="3"/>
      <c r="BC30" s="3"/>
      <c r="BD30" s="3"/>
      <c r="BE30" s="3"/>
      <c r="BF30" s="3"/>
      <c r="BG30" s="3"/>
    </row>
    <row r="31" spans="1:59" ht="12.75">
      <c r="A31" s="103"/>
      <c r="B31" s="3"/>
      <c r="C31" s="169" t="s">
        <v>135</v>
      </c>
      <c r="D31" s="257"/>
      <c r="E31" s="257"/>
      <c r="F31" s="257"/>
      <c r="G31" s="257"/>
      <c r="H31" s="257"/>
      <c r="I31" s="169"/>
      <c r="J31" s="3"/>
      <c r="K31" s="3"/>
      <c r="L31" s="258"/>
      <c r="M31" s="3"/>
      <c r="N31" s="3"/>
      <c r="O31" s="3"/>
      <c r="P31" s="3"/>
      <c r="Q31" s="3"/>
      <c r="R31" s="3"/>
      <c r="S31" s="3"/>
      <c r="T31" s="3"/>
      <c r="U31" s="3"/>
      <c r="V31" s="3"/>
      <c r="AJ31" s="191"/>
      <c r="AK31" s="235" t="s">
        <v>971</v>
      </c>
      <c r="AL31" s="116"/>
      <c r="AM31" s="226"/>
      <c r="AN31" s="173"/>
      <c r="AO31" s="185"/>
      <c r="AP31" s="111"/>
      <c r="AQ31" s="231">
        <f>IF($AB$16&lt;0,"( F )","")</f>
      </c>
      <c r="AR31" s="111"/>
      <c r="AU31">
        <v>28</v>
      </c>
      <c r="AV31" s="293">
        <f>IF(COUNT(M18:N18)&lt;&gt;2,"",M18)</f>
      </c>
      <c r="AW31" s="293">
        <f>IF(COUNT(M18:N18)&lt;&gt;2,"",N18)</f>
      </c>
      <c r="AX31" s="293">
        <f>AC18</f>
      </c>
      <c r="AY31">
        <f t="shared" si="0"/>
        <v>0</v>
      </c>
      <c r="AZ31">
        <f t="shared" si="0"/>
      </c>
      <c r="BA31" s="3"/>
      <c r="BB31" s="3"/>
      <c r="BC31" s="3"/>
      <c r="BD31" s="3"/>
      <c r="BE31" s="3"/>
      <c r="BF31" s="3"/>
      <c r="BG31" s="3"/>
    </row>
    <row r="32" spans="1:59" ht="12.75">
      <c r="A32" s="103"/>
      <c r="B32" s="3"/>
      <c r="C32" s="169"/>
      <c r="D32" s="257"/>
      <c r="E32" s="257"/>
      <c r="F32" s="257"/>
      <c r="G32" s="257"/>
      <c r="H32" s="257"/>
      <c r="I32" s="257"/>
      <c r="J32" s="257"/>
      <c r="K32" s="3"/>
      <c r="L32" s="3"/>
      <c r="M32" s="3"/>
      <c r="N32" s="3"/>
      <c r="O32" s="3"/>
      <c r="P32" s="3"/>
      <c r="Q32" s="3"/>
      <c r="R32" s="3"/>
      <c r="S32" s="260" t="str">
        <f>"Legende: GR = Gruppe;  S = Sieger;  VF = Viertelfinale;  HF = Halbfinale; EMW = Elfmeterwette "&amp;IF(AC3=0,"(wurde für dieses Tippspiel nicht aktiviert)","")</f>
        <v>Legende: GR = Gruppe;  S = Sieger;  VF = Viertelfinale;  HF = Halbfinale; EMW = Elfmeterwette (wurde für dieses Tippspiel nicht aktiviert)</v>
      </c>
      <c r="T32" s="3"/>
      <c r="U32" s="3"/>
      <c r="V32" s="3"/>
      <c r="AJ32" s="191"/>
      <c r="AK32" s="235" t="s">
        <v>971</v>
      </c>
      <c r="AL32" s="116"/>
      <c r="AM32" s="226"/>
      <c r="AN32" s="173"/>
      <c r="AO32" s="185"/>
      <c r="AP32" s="111"/>
      <c r="AQ32" s="231">
        <f>IF($AB$17&lt;0,"( F )","")</f>
      </c>
      <c r="AR32" s="111"/>
      <c r="AU32">
        <v>29</v>
      </c>
      <c r="AV32" s="293">
        <f>IF(COUNT(M21:N21)&lt;&gt;2,"",M21)</f>
      </c>
      <c r="AW32" s="293">
        <f>IF(COUNT(M21:N21)&lt;&gt;2,"",N21)</f>
      </c>
      <c r="AX32" s="293">
        <f>AC21</f>
      </c>
      <c r="AY32">
        <f>IF(LEN(R17)&lt;&gt;0,"",IF(LEN(J21)=0,"",J21))</f>
      </c>
      <c r="AZ32">
        <f>IF(LEN(R17)&lt;&gt;0,"",IF(LEN(K21)=0,"",K21))</f>
      </c>
      <c r="BA32" s="3"/>
      <c r="BB32" s="3"/>
      <c r="BC32" s="3"/>
      <c r="BD32" s="3"/>
      <c r="BE32" s="3"/>
      <c r="BF32" s="3"/>
      <c r="BG32" s="3"/>
    </row>
    <row r="33" spans="1:59" ht="12.75">
      <c r="A33" s="10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192"/>
      <c r="AK33" s="236" t="s">
        <v>971</v>
      </c>
      <c r="AL33" s="116"/>
      <c r="AM33" s="227"/>
      <c r="AN33" s="174"/>
      <c r="AO33" s="186"/>
      <c r="AP33" s="111"/>
      <c r="AQ33" s="231">
        <f>IF($AB$18&lt;0,"( F )","")</f>
      </c>
      <c r="AR33" s="111"/>
      <c r="AU33">
        <v>30</v>
      </c>
      <c r="AV33" s="293">
        <f>IF(COUNT(M22:N22)&lt;&gt;2,"",M22)</f>
      </c>
      <c r="AW33" s="293">
        <f>IF(COUNT(M22:N22)&lt;&gt;2,"",N22)</f>
      </c>
      <c r="AX33" s="293">
        <f>AC22</f>
      </c>
      <c r="AY33">
        <f>IF(LEN(R18)&lt;&gt;0,"",IF(LEN(J22)=0,"",J22))</f>
      </c>
      <c r="AZ33">
        <f>IF(LEN(R18)&lt;&gt;0,"",IF(LEN(K22)=0,"",K22))</f>
      </c>
      <c r="BA33" s="3"/>
      <c r="BB33" s="3"/>
      <c r="BC33" s="3"/>
      <c r="BD33" s="3"/>
      <c r="BE33" s="3"/>
      <c r="BF33" s="3"/>
      <c r="BG33" s="3"/>
    </row>
    <row r="34" spans="1:59" ht="12.75">
      <c r="A34" s="10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J34" s="255"/>
      <c r="AK34" s="256"/>
      <c r="AL34" s="116"/>
      <c r="AM34" s="252"/>
      <c r="AN34" s="252"/>
      <c r="AO34" s="252"/>
      <c r="AP34" s="111"/>
      <c r="AQ34" s="231"/>
      <c r="AR34" s="111"/>
      <c r="AU34">
        <v>31</v>
      </c>
      <c r="AV34" s="293">
        <f>IF(COUNT(M25:N25)&lt;&gt;2,"",M25)</f>
      </c>
      <c r="AW34" s="293">
        <f>IF(COUNT(M25:N25)&lt;&gt;2,"",N25)</f>
      </c>
      <c r="AX34" s="293">
        <f>AC25</f>
      </c>
      <c r="AY34">
        <f>IF(LEN(R21)&lt;&gt;0,"",IF(LEN(J25)=0,"",J25))</f>
      </c>
      <c r="AZ34">
        <f>IF(LEN(R22)&lt;&gt;0,"",IF(LEN(K25)=0,"",K25))</f>
      </c>
      <c r="BA34" s="3"/>
      <c r="BB34" s="3"/>
      <c r="BC34" s="3"/>
      <c r="BD34" s="3"/>
      <c r="BE34" s="3"/>
      <c r="BF34" s="3"/>
      <c r="BG34" s="3"/>
    </row>
    <row r="35" spans="1:59" ht="12.75">
      <c r="A35" s="10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J35" s="255"/>
      <c r="AK35" s="256"/>
      <c r="AL35" s="116"/>
      <c r="AM35" s="252"/>
      <c r="AN35" s="252"/>
      <c r="AO35" s="252"/>
      <c r="AP35" s="111"/>
      <c r="AQ35" s="231"/>
      <c r="AR35" s="111"/>
      <c r="BA35" s="3"/>
      <c r="BB35" s="3"/>
      <c r="BC35" s="3"/>
      <c r="BD35" s="3"/>
      <c r="BE35" s="3"/>
      <c r="BF35" s="3"/>
      <c r="BG35" s="3"/>
    </row>
    <row r="36" spans="1:59" ht="12.75">
      <c r="A36" s="10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J36" s="178"/>
      <c r="AK36" s="237" t="s">
        <v>971</v>
      </c>
      <c r="AL36" s="116"/>
      <c r="AM36" s="228"/>
      <c r="AN36" s="175"/>
      <c r="AO36" s="187"/>
      <c r="AP36" s="111"/>
      <c r="AQ36" s="231">
        <f>IF($AB$21&lt;0,"( F )","")</f>
      </c>
      <c r="AR36" s="111"/>
      <c r="BA36" s="3"/>
      <c r="BB36" s="3"/>
      <c r="BC36" s="3"/>
      <c r="BD36" s="3"/>
      <c r="BE36" s="3"/>
      <c r="BF36" s="3"/>
      <c r="BG36" s="3"/>
    </row>
    <row r="37" spans="1:59" ht="12.75">
      <c r="A37" s="10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J37" s="179"/>
      <c r="AK37" s="238" t="s">
        <v>971</v>
      </c>
      <c r="AL37" s="116"/>
      <c r="AM37" s="229"/>
      <c r="AN37" s="176"/>
      <c r="AO37" s="188"/>
      <c r="AP37" s="111"/>
      <c r="AQ37" s="231">
        <f>IF($AB$22&lt;0,"( F )","")</f>
      </c>
      <c r="AR37" s="111"/>
      <c r="BA37" s="3"/>
      <c r="BB37" s="3"/>
      <c r="BC37" s="3"/>
      <c r="BD37" s="3"/>
      <c r="BE37" s="3"/>
      <c r="BF37" s="3"/>
      <c r="BG37" s="3"/>
    </row>
    <row r="38" spans="1:59" ht="12.75">
      <c r="A38" s="10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J38" s="255"/>
      <c r="AK38" s="256"/>
      <c r="AL38" s="116"/>
      <c r="AM38" s="252"/>
      <c r="AN38" s="252"/>
      <c r="AO38" s="252"/>
      <c r="AP38" s="111"/>
      <c r="AQ38" s="231"/>
      <c r="AR38" s="111"/>
      <c r="BA38" s="3"/>
      <c r="BB38" s="3"/>
      <c r="BC38" s="3"/>
      <c r="BD38" s="3"/>
      <c r="BE38" s="3"/>
      <c r="BF38" s="3"/>
      <c r="BG38" s="3"/>
    </row>
    <row r="39" spans="1:59" ht="12.75">
      <c r="A39" s="10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J39" s="255"/>
      <c r="AK39" s="256"/>
      <c r="AL39" s="116"/>
      <c r="AM39" s="252"/>
      <c r="AN39" s="252"/>
      <c r="AO39" s="252"/>
      <c r="AP39" s="111"/>
      <c r="AQ39" s="231"/>
      <c r="AR39" s="111"/>
      <c r="BA39" s="3"/>
      <c r="BB39" s="3"/>
      <c r="BC39" s="3"/>
      <c r="BD39" s="3"/>
      <c r="BE39" s="3"/>
      <c r="BF39" s="3"/>
      <c r="BG39" s="3"/>
    </row>
    <row r="40" spans="1:59" ht="12.75">
      <c r="A40" s="10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J40" s="180"/>
      <c r="AK40" s="239" t="s">
        <v>971</v>
      </c>
      <c r="AL40" s="116"/>
      <c r="AM40" s="254"/>
      <c r="AN40" s="177"/>
      <c r="AO40" s="189"/>
      <c r="AP40" s="111"/>
      <c r="AQ40" s="231">
        <f>IF($AB$25&lt;0,"( F )","")</f>
      </c>
      <c r="AR40" s="111"/>
      <c r="BA40" s="3"/>
      <c r="BB40" s="3"/>
      <c r="BC40" s="3"/>
      <c r="BD40" s="3"/>
      <c r="BE40" s="3"/>
      <c r="BF40" s="3"/>
      <c r="BG40" s="3"/>
    </row>
    <row r="41" spans="1:59" ht="12.75">
      <c r="A41" s="10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J41" s="105"/>
      <c r="AK41" s="105"/>
      <c r="AL41" s="116"/>
      <c r="AM41" s="105"/>
      <c r="AN41" s="105"/>
      <c r="AO41" s="105"/>
      <c r="AP41" s="105"/>
      <c r="AQ41" s="231"/>
      <c r="AR41" s="111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R42" s="12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BA48" s="3"/>
      <c r="BB48" s="3"/>
      <c r="BC48" s="3"/>
      <c r="BD48" s="3"/>
      <c r="BE48" s="3"/>
      <c r="BF48" s="3"/>
      <c r="BG48" s="3"/>
    </row>
  </sheetData>
  <sheetProtection password="FDAA" sheet="1" objects="1" scenarios="1"/>
  <mergeCells count="12">
    <mergeCell ref="C4:M5"/>
    <mergeCell ref="M14:N14"/>
    <mergeCell ref="J13:K14"/>
    <mergeCell ref="D15:F15"/>
    <mergeCell ref="G14:H14"/>
    <mergeCell ref="D14:F14"/>
    <mergeCell ref="D17:F17"/>
    <mergeCell ref="D16:F16"/>
    <mergeCell ref="D25:F25"/>
    <mergeCell ref="D21:F21"/>
    <mergeCell ref="D22:F22"/>
    <mergeCell ref="D18:F18"/>
  </mergeCells>
  <conditionalFormatting sqref="AQ15:AQ18 AQ21:AQ22">
    <cfRule type="expression" priority="1" dxfId="6" stopIfTrue="1">
      <formula>$AH15</formula>
    </cfRule>
    <cfRule type="expression" priority="2" dxfId="7" stopIfTrue="1">
      <formula>AND(LEN(AQ15)=0,LEN($AG15)=0)</formula>
    </cfRule>
    <cfRule type="expression" priority="3" dxfId="8" stopIfTrue="1">
      <formula>AND(LEN(AQ15)=0,LEN($AG15)&gt;0)</formula>
    </cfRule>
  </conditionalFormatting>
  <conditionalFormatting sqref="AO15:AO18 AO21:AO22 AO25">
    <cfRule type="expression" priority="4" dxfId="9" stopIfTrue="1">
      <formula>$AC$3=0</formula>
    </cfRule>
    <cfRule type="expression" priority="5" dxfId="10" stopIfTrue="1">
      <formula>OR(AND(NOT($AC$9),LEN(AO15)&gt;0,ISERROR(MATCH(AO15,auswahl_emw,0))),AND(LEN(AO15)&gt;0,$AB15&lt;0))</formula>
    </cfRule>
    <cfRule type="expression" priority="6" dxfId="11" stopIfTrue="1">
      <formula>OR(AND($AC$4,$AC$9,LEN(AO15)&gt;0,ISERROR(MATCH(AO15,$AJ15:$AK15,0))),AND(LEN(AO15)&gt;0,$AB15&lt;0))</formula>
    </cfRule>
  </conditionalFormatting>
  <conditionalFormatting sqref="AO30:AO33 AO36:AO37 AO40 O15:O18 O21:O22 O25">
    <cfRule type="expression" priority="7" dxfId="9" stopIfTrue="1">
      <formula>$AC$3=0</formula>
    </cfRule>
    <cfRule type="expression" priority="8" dxfId="11" stopIfTrue="1">
      <formula>OR(AND(NOT($AC$9),LEN(O15)&gt;0,ISERROR(MATCH(O15,auswahl_emw,0))),AND(LEN(O15)&gt;0,$AB15&lt;0))</formula>
    </cfRule>
    <cfRule type="expression" priority="9" dxfId="11" stopIfTrue="1">
      <formula>OR(AND($AC$4,$AC$9,LEN(O15)&gt;0,ISERROR(MATCH(O15,J15:K15,0))),AND(LEN(O15)&gt;0,$AB15&lt;0))</formula>
    </cfRule>
  </conditionalFormatting>
  <dataValidations count="14">
    <dataValidation type="list" allowBlank="1" showErrorMessage="1" errorTitle="FEHLER" error="Es muss ein Eintrag aus der Liste gewählt werden!" sqref="AO15:AO18">
      <formula1>OFFSET($AF$1,$AE$15,$AS15,$AE$16,1)</formula1>
    </dataValidation>
    <dataValidation allowBlank="1" showInputMessage="1" showErrorMessage="1" sqref="AQ23:AQ24 AJ38:AK39 J23:K24"/>
    <dataValidation type="list" allowBlank="1" showInputMessage="1" showErrorMessage="1" sqref="AJ36:AK37 AJ40:AK40 AJ30:AK33 J21:K22 J25:K25 J15:K18">
      <formula1>teams_kurz</formula1>
    </dataValidation>
    <dataValidation allowBlank="1" sqref="AJ21:AK25"/>
    <dataValidation type="list" allowBlank="1" showErrorMessage="1" errorTitle="FEHLER" error="Es muss ein Team aus der Liste gewählt werden!" sqref="AQ15">
      <formula1>$AG$4:$AG$5</formula1>
    </dataValidation>
    <dataValidation type="list" allowBlank="1" showErrorMessage="1" errorTitle="FEHLER" error="Es muss ein Team aus der Liste gewählt werden!" sqref="AQ16">
      <formula1>$AH$4:$AH$5</formula1>
    </dataValidation>
    <dataValidation type="list" allowBlank="1" showErrorMessage="1" errorTitle="FEHLER" error="Es muss ein Team aus der Liste gewählt werden!" sqref="AQ17">
      <formula1>$AI$4:$AI$5</formula1>
    </dataValidation>
    <dataValidation type="list" allowBlank="1" showErrorMessage="1" errorTitle="FEHLER" error="Es muss ein Team aus der Liste gewählt werden!" sqref="AQ18">
      <formula1>$AJ$4:$AJ$5</formula1>
    </dataValidation>
    <dataValidation type="list" allowBlank="1" showErrorMessage="1" errorTitle="FEHLER" error="Es muss ein Team aus der Liste gewählt werden!" sqref="AQ21">
      <formula1>$AK$4:$AK$5</formula1>
    </dataValidation>
    <dataValidation type="list" allowBlank="1" showErrorMessage="1" errorTitle="FEHLER" error="Es muss ein Team aus der Liste gewählt werden!" sqref="AQ22">
      <formula1>$AL$4:$AL$5</formula1>
    </dataValidation>
    <dataValidation type="list" allowBlank="1" showErrorMessage="1" errorTitle="FEHLER" error="Bitte einen Eintrag aus der Auswahlliste wählen oder den Zellinhalt löschen!" sqref="AO21">
      <formula1>OFFSET($AF$1,$AE$15,$AS$21,$AE$16,1)</formula1>
    </dataValidation>
    <dataValidation type="list" allowBlank="1" showErrorMessage="1" errorTitle="FEHLER" error="Bitte einen Eintrag aus der Auswahlliste wählen oder den Zellinhalt löschen!" sqref="AO22">
      <formula1>OFFSET($AF$1,$AE$15,$AS$22,$AE$16,1)</formula1>
    </dataValidation>
    <dataValidation type="list" allowBlank="1" showErrorMessage="1" errorTitle="FEHLER" error="Bitte einen Eintrag aus der Auswahlliste wählen oder den Zellinhalt löschen!" sqref="AO25">
      <formula1>OFFSET($AF$1,$AE$15,$AS$25,$AE$16,1)</formula1>
    </dataValidation>
    <dataValidation type="list" allowBlank="1" showErrorMessage="1" errorTitle="FEHLER" error="Bitte einen Eintrag aus der Auswahlliste wählen oder den Zellinhalt löschen!" sqref="AO30:AO33 AO36:AO37 AO40 O15:O18 O21:O22 O25">
      <formula1>OFFSET($AA$1,$AE$15,0,$AE$16,1)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9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O672"/>
  <sheetViews>
    <sheetView showGridLines="0" showRowColHeaders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4" width="10.7109375" style="0" customWidth="1"/>
    <col min="5" max="5" width="14.7109375" style="0" customWidth="1"/>
    <col min="6" max="7" width="15.7109375" style="0" customWidth="1"/>
    <col min="8" max="8" width="11.7109375" style="0" customWidth="1"/>
    <col min="9" max="10" width="1.7109375" style="0" customWidth="1"/>
    <col min="11" max="11" width="13.7109375" style="0" customWidth="1"/>
    <col min="14" max="14" width="8.7109375" style="0" customWidth="1"/>
    <col min="16" max="27" width="0" style="0" hidden="1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81"/>
      <c r="Q1" s="281" t="s">
        <v>163</v>
      </c>
      <c r="R1" s="281" t="s">
        <v>164</v>
      </c>
      <c r="S1" s="281"/>
      <c r="T1" s="281" t="s">
        <v>165</v>
      </c>
      <c r="U1" s="281" t="s">
        <v>174</v>
      </c>
      <c r="V1" s="281"/>
      <c r="W1" s="281"/>
      <c r="X1" s="281"/>
      <c r="Y1" s="281"/>
      <c r="Z1" s="281"/>
      <c r="AA1" s="281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281"/>
      <c r="AM1" s="281"/>
      <c r="AN1" s="281"/>
      <c r="AO1" s="281"/>
    </row>
    <row r="2" spans="1:41" ht="12.75">
      <c r="A2" s="3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Alexander Schmidt</v>
      </c>
      <c r="G2" s="3"/>
      <c r="H2" s="3"/>
      <c r="I2" s="3"/>
      <c r="J2" s="3"/>
      <c r="K2" s="3"/>
      <c r="L2" s="3"/>
      <c r="M2" s="3"/>
      <c r="N2" s="3"/>
      <c r="O2" s="3"/>
      <c r="P2" s="281"/>
      <c r="Q2" s="281">
        <v>16</v>
      </c>
      <c r="R2" s="281">
        <v>4</v>
      </c>
      <c r="S2" s="281">
        <v>4</v>
      </c>
      <c r="T2" s="281">
        <v>5</v>
      </c>
      <c r="U2" s="281">
        <f>COUNTA(U4:U483)+2</f>
        <v>370</v>
      </c>
      <c r="V2" s="281" t="s">
        <v>175</v>
      </c>
      <c r="W2" s="281" t="s">
        <v>176</v>
      </c>
      <c r="X2" s="281" t="s">
        <v>177</v>
      </c>
      <c r="Y2" s="281" t="s">
        <v>178</v>
      </c>
      <c r="Z2" s="281" t="s">
        <v>179</v>
      </c>
      <c r="AA2" s="281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281"/>
      <c r="AM2" s="281"/>
      <c r="AN2" s="281"/>
      <c r="AO2" s="281"/>
    </row>
    <row r="3" spans="1:41" ht="15" customHeight="1">
      <c r="A3" s="3"/>
      <c r="B3" s="3"/>
      <c r="C3" s="3"/>
      <c r="D3" s="3"/>
      <c r="E3" s="3"/>
      <c r="F3" s="294" t="s">
        <v>202</v>
      </c>
      <c r="G3" s="3"/>
      <c r="H3" s="3"/>
      <c r="I3" s="3"/>
      <c r="J3" s="3"/>
      <c r="K3" s="3"/>
      <c r="L3" s="3"/>
      <c r="M3" s="3"/>
      <c r="N3" s="3"/>
      <c r="O3" s="3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281"/>
      <c r="AM3" s="281"/>
      <c r="AN3" s="281"/>
      <c r="AO3" s="281"/>
    </row>
    <row r="4" spans="1:41" ht="15" customHeight="1">
      <c r="A4" s="3"/>
      <c r="B4" s="469" t="s">
        <v>142</v>
      </c>
      <c r="C4" s="470"/>
      <c r="D4" s="470"/>
      <c r="E4" s="470"/>
      <c r="F4" s="471" t="s">
        <v>100</v>
      </c>
      <c r="G4" s="471"/>
      <c r="H4" s="272" t="s">
        <v>143</v>
      </c>
      <c r="I4" s="279"/>
      <c r="J4" s="103"/>
      <c r="K4" s="295" t="s">
        <v>233</v>
      </c>
      <c r="L4" s="262"/>
      <c r="M4" s="262"/>
      <c r="N4" s="263"/>
      <c r="O4" s="3"/>
      <c r="P4" s="281" t="s">
        <v>129</v>
      </c>
      <c r="Q4" s="281" t="str">
        <f>Vorrunde!CR2</f>
        <v>Schweiz</v>
      </c>
      <c r="R4" s="281" t="s">
        <v>167</v>
      </c>
      <c r="S4" s="281" t="s">
        <v>168</v>
      </c>
      <c r="T4" s="281" t="s">
        <v>168</v>
      </c>
      <c r="U4" s="281" t="s">
        <v>235</v>
      </c>
      <c r="V4" s="281" t="s">
        <v>236</v>
      </c>
      <c r="W4" s="281" t="str">
        <f>Q4</f>
        <v>Schweiz</v>
      </c>
      <c r="X4" s="281" t="str">
        <f>Q8</f>
        <v>Österreich</v>
      </c>
      <c r="Y4" s="281" t="str">
        <f>Q12</f>
        <v>Niederlande</v>
      </c>
      <c r="Z4" s="281" t="str">
        <f>Q16</f>
        <v>Griechenland</v>
      </c>
      <c r="AA4" s="281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281"/>
      <c r="AM4" s="281"/>
      <c r="AN4" s="281"/>
      <c r="AO4" s="281"/>
    </row>
    <row r="5" spans="1:41" ht="13.5" customHeight="1" thickBot="1">
      <c r="A5" s="3"/>
      <c r="B5" s="436" t="s">
        <v>144</v>
      </c>
      <c r="C5" s="437"/>
      <c r="D5" s="437"/>
      <c r="E5" s="438"/>
      <c r="F5" s="440"/>
      <c r="G5" s="440"/>
      <c r="H5" s="271">
        <v>10</v>
      </c>
      <c r="I5" s="280"/>
      <c r="J5" s="264"/>
      <c r="K5" s="296"/>
      <c r="L5" s="103"/>
      <c r="M5" s="103"/>
      <c r="N5" s="103"/>
      <c r="O5" s="3"/>
      <c r="P5" s="282">
        <f>IF(OR(H5=0,LEN(F5)=0),"",IF(ISERROR(VLOOKUP(F5,$U$4:$V$503,2,FALSE)),F5,VLOOKUP(F5,$U$4:$V$503,2,FALSE)))</f>
      </c>
      <c r="Q5" s="281" t="str">
        <f>Vorrunde!CR3</f>
        <v>Tschechien</v>
      </c>
      <c r="R5" s="281" t="s">
        <v>169</v>
      </c>
      <c r="S5" s="281" t="s">
        <v>170</v>
      </c>
      <c r="T5" s="281" t="s">
        <v>170</v>
      </c>
      <c r="U5" s="281" t="s">
        <v>237</v>
      </c>
      <c r="V5" s="281" t="s">
        <v>238</v>
      </c>
      <c r="W5" s="281" t="str">
        <f>Q5</f>
        <v>Tschechien</v>
      </c>
      <c r="X5" s="281" t="str">
        <f>Q9</f>
        <v>Kroatien</v>
      </c>
      <c r="Y5" s="281" t="str">
        <f>Q13</f>
        <v>Italien</v>
      </c>
      <c r="Z5" s="281" t="str">
        <f>Q17</f>
        <v>Schweden</v>
      </c>
      <c r="AA5" s="281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281"/>
      <c r="AM5" s="281"/>
      <c r="AN5" s="281"/>
      <c r="AO5" s="281"/>
    </row>
    <row r="6" spans="1:41" ht="13.5" customHeight="1" hidden="1" thickBot="1">
      <c r="A6" s="3"/>
      <c r="B6" s="413" t="s">
        <v>145</v>
      </c>
      <c r="C6" s="414"/>
      <c r="D6" s="414"/>
      <c r="E6" s="415"/>
      <c r="F6" s="464"/>
      <c r="G6" s="464"/>
      <c r="H6" s="290"/>
      <c r="I6" s="280"/>
      <c r="J6" s="264"/>
      <c r="K6" s="296"/>
      <c r="L6" s="103"/>
      <c r="M6" s="103"/>
      <c r="N6" s="103"/>
      <c r="O6" s="3"/>
      <c r="P6" s="282">
        <f>IF(OR(H6=0,LEN(F6)=0),"",IF(ISERROR(MATCH(F6,teams_lang,0)),"",MATCH(F6,teams_lang,0)))</f>
      </c>
      <c r="Q6" s="281" t="str">
        <f>Vorrunde!CR4</f>
        <v>Portugal</v>
      </c>
      <c r="R6" s="281" t="s">
        <v>171</v>
      </c>
      <c r="S6" s="281" t="s">
        <v>172</v>
      </c>
      <c r="T6" s="281" t="s">
        <v>172</v>
      </c>
      <c r="U6" s="281" t="s">
        <v>239</v>
      </c>
      <c r="V6" s="281" t="s">
        <v>240</v>
      </c>
      <c r="W6" s="281" t="str">
        <f>Q6</f>
        <v>Portugal</v>
      </c>
      <c r="X6" s="281" t="str">
        <f>Q10</f>
        <v>Deutschland</v>
      </c>
      <c r="Y6" s="281" t="str">
        <f>Q14</f>
        <v>Rumänien</v>
      </c>
      <c r="Z6" s="281" t="str">
        <f>Q18</f>
        <v>Spanien</v>
      </c>
      <c r="AA6" s="281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281"/>
      <c r="AM6" s="281"/>
      <c r="AN6" s="281"/>
      <c r="AO6" s="281"/>
    </row>
    <row r="7" spans="1:41" ht="13.5" customHeight="1" hidden="1">
      <c r="A7" s="3"/>
      <c r="B7" s="465" t="str">
        <f>"Wie weit kommt das Team "&amp;Q4</f>
        <v>Wie weit kommt das Team Schweiz</v>
      </c>
      <c r="C7" s="466"/>
      <c r="D7" s="466"/>
      <c r="E7" s="467"/>
      <c r="F7" s="468"/>
      <c r="G7" s="468"/>
      <c r="H7" s="276"/>
      <c r="I7" s="280"/>
      <c r="J7" s="264"/>
      <c r="K7" s="297" t="str">
        <f aca="true" t="shared" si="0" ref="K7:K22">IF(ISERROR(MATCH(Q4,$W$9:$W$17,0)),"Team scheidet in der Gruppenrunde aus","Das Team erreicht die KO-Runde")</f>
        <v>Das Team erreicht die KO-Runde</v>
      </c>
      <c r="L7" s="267"/>
      <c r="M7" s="267"/>
      <c r="N7" s="268"/>
      <c r="O7" s="3"/>
      <c r="P7" s="282">
        <f>IF(OR(H7=0,LEN(F7)=0),"",IF(ISERROR(MATCH(F7,$R$4:$R$7,0)),"",MATCH(F7,$R$4:$R$7,0)))</f>
      </c>
      <c r="Q7" s="281" t="str">
        <f>Vorrunde!CR5</f>
        <v>Türkei</v>
      </c>
      <c r="R7" s="281" t="s">
        <v>99</v>
      </c>
      <c r="S7" s="281" t="s">
        <v>173</v>
      </c>
      <c r="T7" s="281" t="s">
        <v>173</v>
      </c>
      <c r="U7" s="281" t="s">
        <v>241</v>
      </c>
      <c r="V7" s="281" t="s">
        <v>242</v>
      </c>
      <c r="W7" s="281" t="str">
        <f>Q7</f>
        <v>Türkei</v>
      </c>
      <c r="X7" s="281" t="str">
        <f>Q11</f>
        <v>Polen</v>
      </c>
      <c r="Y7" s="281" t="str">
        <f>Q15</f>
        <v>Frankreich</v>
      </c>
      <c r="Z7" s="281" t="str">
        <f>Q19</f>
        <v>Russland</v>
      </c>
      <c r="AA7" s="281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281"/>
      <c r="AM7" s="281"/>
      <c r="AN7" s="281"/>
      <c r="AO7" s="281"/>
    </row>
    <row r="8" spans="1:41" ht="13.5" customHeight="1" hidden="1">
      <c r="A8" s="3"/>
      <c r="B8" s="433" t="str">
        <f aca="true" t="shared" si="1" ref="B8:B22">"Wie weit kommt das Team "&amp;Q5</f>
        <v>Wie weit kommt das Team Tschechien</v>
      </c>
      <c r="C8" s="434"/>
      <c r="D8" s="434"/>
      <c r="E8" s="435"/>
      <c r="F8" s="426"/>
      <c r="G8" s="426"/>
      <c r="H8" s="273"/>
      <c r="I8" s="280"/>
      <c r="J8" s="264"/>
      <c r="K8" s="298" t="str">
        <f t="shared" si="0"/>
        <v>Das Team erreicht die KO-Runde</v>
      </c>
      <c r="L8" s="269"/>
      <c r="M8" s="269"/>
      <c r="N8" s="270"/>
      <c r="O8" s="3"/>
      <c r="P8" s="282">
        <f aca="true" t="shared" si="2" ref="P8:P22">IF(OR(H8=0,LEN(F8)=0),"",IF(ISERROR(MATCH(F8,$R$4:$R$7,0)),"",MATCH(F8,$R$4:$R$7,0)))</f>
      </c>
      <c r="Q8" s="281" t="str">
        <f>Vorrunde!CR6</f>
        <v>Österreich</v>
      </c>
      <c r="R8" s="281"/>
      <c r="S8" s="281"/>
      <c r="T8" s="281"/>
      <c r="U8" s="281" t="s">
        <v>243</v>
      </c>
      <c r="V8" s="281" t="s">
        <v>244</v>
      </c>
      <c r="W8" s="281"/>
      <c r="X8" s="281"/>
      <c r="Y8" s="281"/>
      <c r="Z8" s="281"/>
      <c r="AA8" s="281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281"/>
      <c r="AM8" s="281"/>
      <c r="AN8" s="281"/>
      <c r="AO8" s="281"/>
    </row>
    <row r="9" spans="1:41" ht="13.5" customHeight="1" hidden="1">
      <c r="A9" s="3"/>
      <c r="B9" s="433" t="str">
        <f t="shared" si="1"/>
        <v>Wie weit kommt das Team Portugal</v>
      </c>
      <c r="C9" s="434"/>
      <c r="D9" s="434"/>
      <c r="E9" s="435"/>
      <c r="F9" s="426"/>
      <c r="G9" s="426"/>
      <c r="H9" s="273"/>
      <c r="I9" s="280"/>
      <c r="J9" s="264"/>
      <c r="K9" s="298" t="str">
        <f t="shared" si="0"/>
        <v>Team scheidet in der Gruppenrunde aus</v>
      </c>
      <c r="L9" s="269"/>
      <c r="M9" s="269"/>
      <c r="N9" s="270"/>
      <c r="O9" s="3"/>
      <c r="P9" s="282">
        <f t="shared" si="2"/>
      </c>
      <c r="Q9" s="281" t="str">
        <f>Vorrunde!CR7</f>
        <v>Kroatien</v>
      </c>
      <c r="R9" s="281"/>
      <c r="S9" s="281"/>
      <c r="T9" s="281"/>
      <c r="U9" s="281" t="s">
        <v>245</v>
      </c>
      <c r="V9" s="281" t="s">
        <v>246</v>
      </c>
      <c r="W9" s="281" t="s">
        <v>189</v>
      </c>
      <c r="X9" s="281"/>
      <c r="Y9" s="281"/>
      <c r="Z9" s="281"/>
      <c r="AA9" s="281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281"/>
      <c r="AM9" s="281"/>
      <c r="AN9" s="281"/>
      <c r="AO9" s="281"/>
    </row>
    <row r="10" spans="1:41" ht="13.5" customHeight="1" hidden="1">
      <c r="A10" s="3"/>
      <c r="B10" s="433" t="str">
        <f t="shared" si="1"/>
        <v>Wie weit kommt das Team Türkei</v>
      </c>
      <c r="C10" s="434"/>
      <c r="D10" s="434"/>
      <c r="E10" s="435"/>
      <c r="F10" s="426"/>
      <c r="G10" s="426"/>
      <c r="H10" s="273"/>
      <c r="I10" s="280"/>
      <c r="J10" s="264"/>
      <c r="K10" s="298" t="str">
        <f t="shared" si="0"/>
        <v>Team scheidet in der Gruppenrunde aus</v>
      </c>
      <c r="L10" s="269"/>
      <c r="M10" s="269"/>
      <c r="N10" s="270"/>
      <c r="O10" s="3"/>
      <c r="P10" s="282">
        <f t="shared" si="2"/>
      </c>
      <c r="Q10" s="281" t="str">
        <f>Vorrunde!CR8</f>
        <v>Deutschland</v>
      </c>
      <c r="R10" s="281"/>
      <c r="S10" s="281"/>
      <c r="T10" s="281"/>
      <c r="U10" s="281" t="s">
        <v>247</v>
      </c>
      <c r="V10" s="281" t="s">
        <v>248</v>
      </c>
      <c r="W10" s="281" t="str">
        <f>Vorrunde!AA9</f>
        <v>Schweiz</v>
      </c>
      <c r="X10" s="281"/>
      <c r="Y10" s="281"/>
      <c r="Z10" s="281"/>
      <c r="AA10" s="281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281"/>
      <c r="AM10" s="281"/>
      <c r="AN10" s="281"/>
      <c r="AO10" s="281"/>
    </row>
    <row r="11" spans="1:41" ht="13.5" customHeight="1" hidden="1">
      <c r="A11" s="3"/>
      <c r="B11" s="433" t="str">
        <f t="shared" si="1"/>
        <v>Wie weit kommt das Team Österreich</v>
      </c>
      <c r="C11" s="434"/>
      <c r="D11" s="434"/>
      <c r="E11" s="435"/>
      <c r="F11" s="426"/>
      <c r="G11" s="426"/>
      <c r="H11" s="273"/>
      <c r="I11" s="280"/>
      <c r="J11" s="264"/>
      <c r="K11" s="298" t="str">
        <f t="shared" si="0"/>
        <v>Das Team erreicht die KO-Runde</v>
      </c>
      <c r="L11" s="269"/>
      <c r="M11" s="269"/>
      <c r="N11" s="270"/>
      <c r="O11" s="3"/>
      <c r="P11" s="282">
        <f t="shared" si="2"/>
      </c>
      <c r="Q11" s="281" t="str">
        <f>Vorrunde!CR9</f>
        <v>Polen</v>
      </c>
      <c r="R11" s="281"/>
      <c r="S11" s="281"/>
      <c r="T11" s="281"/>
      <c r="U11" s="281" t="s">
        <v>249</v>
      </c>
      <c r="V11" s="281" t="s">
        <v>250</v>
      </c>
      <c r="W11" s="281" t="str">
        <f>Vorrunde!AA10</f>
        <v>Tschechien</v>
      </c>
      <c r="X11" s="281"/>
      <c r="Y11" s="281"/>
      <c r="Z11" s="281"/>
      <c r="AA11" s="281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281"/>
      <c r="AM11" s="281"/>
      <c r="AN11" s="281"/>
      <c r="AO11" s="281"/>
    </row>
    <row r="12" spans="1:41" ht="13.5" customHeight="1" hidden="1">
      <c r="A12" s="3"/>
      <c r="B12" s="433" t="str">
        <f t="shared" si="1"/>
        <v>Wie weit kommt das Team Kroatien</v>
      </c>
      <c r="C12" s="434"/>
      <c r="D12" s="434"/>
      <c r="E12" s="435"/>
      <c r="F12" s="426"/>
      <c r="G12" s="426"/>
      <c r="H12" s="273"/>
      <c r="I12" s="280"/>
      <c r="J12" s="264"/>
      <c r="K12" s="298" t="str">
        <f t="shared" si="0"/>
        <v>Das Team erreicht die KO-Runde</v>
      </c>
      <c r="L12" s="269"/>
      <c r="M12" s="269"/>
      <c r="N12" s="270"/>
      <c r="O12" s="3"/>
      <c r="P12" s="282">
        <f t="shared" si="2"/>
      </c>
      <c r="Q12" s="281" t="str">
        <f>Vorrunde!CR10</f>
        <v>Niederlande</v>
      </c>
      <c r="R12" s="281"/>
      <c r="S12" s="281"/>
      <c r="T12" s="281"/>
      <c r="U12" s="281" t="s">
        <v>251</v>
      </c>
      <c r="V12" s="281" t="s">
        <v>252</v>
      </c>
      <c r="W12" s="281" t="str">
        <f>Vorrunde!AA20</f>
        <v>Österreich</v>
      </c>
      <c r="X12" s="281"/>
      <c r="Y12" s="281"/>
      <c r="Z12" s="281"/>
      <c r="AA12" s="281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281"/>
      <c r="AM12" s="281"/>
      <c r="AN12" s="281"/>
      <c r="AO12" s="281"/>
    </row>
    <row r="13" spans="1:41" ht="13.5" customHeight="1" hidden="1">
      <c r="A13" s="3"/>
      <c r="B13" s="433" t="str">
        <f t="shared" si="1"/>
        <v>Wie weit kommt das Team Deutschland</v>
      </c>
      <c r="C13" s="434"/>
      <c r="D13" s="434"/>
      <c r="E13" s="435"/>
      <c r="F13" s="426"/>
      <c r="G13" s="426"/>
      <c r="H13" s="273"/>
      <c r="I13" s="280"/>
      <c r="J13" s="264"/>
      <c r="K13" s="298" t="str">
        <f t="shared" si="0"/>
        <v>Team scheidet in der Gruppenrunde aus</v>
      </c>
      <c r="L13" s="269"/>
      <c r="M13" s="269"/>
      <c r="N13" s="270"/>
      <c r="O13" s="3"/>
      <c r="P13" s="282">
        <f t="shared" si="2"/>
      </c>
      <c r="Q13" s="281" t="str">
        <f>Vorrunde!CR11</f>
        <v>Italien</v>
      </c>
      <c r="R13" s="281"/>
      <c r="S13" s="281"/>
      <c r="T13" s="281"/>
      <c r="U13" s="281" t="s">
        <v>253</v>
      </c>
      <c r="V13" s="281" t="s">
        <v>254</v>
      </c>
      <c r="W13" s="281" t="str">
        <f>Vorrunde!AA21</f>
        <v>Kroatien</v>
      </c>
      <c r="X13" s="281"/>
      <c r="Y13" s="281"/>
      <c r="Z13" s="281"/>
      <c r="AA13" s="281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281"/>
      <c r="AM13" s="281"/>
      <c r="AN13" s="281"/>
      <c r="AO13" s="281"/>
    </row>
    <row r="14" spans="1:41" ht="13.5" customHeight="1" hidden="1">
      <c r="A14" s="3"/>
      <c r="B14" s="433" t="str">
        <f t="shared" si="1"/>
        <v>Wie weit kommt das Team Polen</v>
      </c>
      <c r="C14" s="434"/>
      <c r="D14" s="434"/>
      <c r="E14" s="435"/>
      <c r="F14" s="426"/>
      <c r="G14" s="426"/>
      <c r="H14" s="273"/>
      <c r="I14" s="280"/>
      <c r="J14" s="264"/>
      <c r="K14" s="298" t="str">
        <f t="shared" si="0"/>
        <v>Team scheidet in der Gruppenrunde aus</v>
      </c>
      <c r="L14" s="269"/>
      <c r="M14" s="269"/>
      <c r="N14" s="270"/>
      <c r="O14" s="3"/>
      <c r="P14" s="282">
        <f t="shared" si="2"/>
      </c>
      <c r="Q14" s="281" t="str">
        <f>Vorrunde!CR12</f>
        <v>Rumänien</v>
      </c>
      <c r="R14" s="281"/>
      <c r="S14" s="281"/>
      <c r="T14" s="281"/>
      <c r="U14" s="281" t="s">
        <v>255</v>
      </c>
      <c r="V14" s="281" t="s">
        <v>256</v>
      </c>
      <c r="W14" s="281" t="str">
        <f>Vorrunde!AA31</f>
        <v>Niederlande</v>
      </c>
      <c r="X14" s="281"/>
      <c r="Y14" s="281"/>
      <c r="Z14" s="281"/>
      <c r="AA14" s="281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281"/>
      <c r="AM14" s="281"/>
      <c r="AN14" s="281"/>
      <c r="AO14" s="281"/>
    </row>
    <row r="15" spans="1:41" ht="13.5" customHeight="1" hidden="1">
      <c r="A15" s="3"/>
      <c r="B15" s="433" t="str">
        <f t="shared" si="1"/>
        <v>Wie weit kommt das Team Niederlande</v>
      </c>
      <c r="C15" s="434"/>
      <c r="D15" s="434"/>
      <c r="E15" s="435"/>
      <c r="F15" s="426"/>
      <c r="G15" s="426"/>
      <c r="H15" s="273"/>
      <c r="I15" s="280"/>
      <c r="J15" s="264"/>
      <c r="K15" s="298" t="str">
        <f t="shared" si="0"/>
        <v>Das Team erreicht die KO-Runde</v>
      </c>
      <c r="L15" s="269"/>
      <c r="M15" s="269"/>
      <c r="N15" s="270"/>
      <c r="O15" s="3"/>
      <c r="P15" s="282">
        <f t="shared" si="2"/>
      </c>
      <c r="Q15" s="281" t="str">
        <f>Vorrunde!CR13</f>
        <v>Frankreich</v>
      </c>
      <c r="R15" s="281"/>
      <c r="S15" s="281"/>
      <c r="T15" s="281"/>
      <c r="U15" s="281" t="s">
        <v>257</v>
      </c>
      <c r="V15" s="281" t="s">
        <v>258</v>
      </c>
      <c r="W15" s="281" t="str">
        <f>Vorrunde!AA32</f>
        <v>Italien</v>
      </c>
      <c r="X15" s="281"/>
      <c r="Y15" s="281"/>
      <c r="Z15" s="281"/>
      <c r="AA15" s="281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281"/>
      <c r="AM15" s="281"/>
      <c r="AN15" s="281"/>
      <c r="AO15" s="281"/>
    </row>
    <row r="16" spans="1:41" ht="13.5" customHeight="1" hidden="1">
      <c r="A16" s="3"/>
      <c r="B16" s="433" t="str">
        <f t="shared" si="1"/>
        <v>Wie weit kommt das Team Italien</v>
      </c>
      <c r="C16" s="434"/>
      <c r="D16" s="434"/>
      <c r="E16" s="435"/>
      <c r="F16" s="426"/>
      <c r="G16" s="426"/>
      <c r="H16" s="273"/>
      <c r="I16" s="280"/>
      <c r="J16" s="264"/>
      <c r="K16" s="298" t="str">
        <f t="shared" si="0"/>
        <v>Das Team erreicht die KO-Runde</v>
      </c>
      <c r="L16" s="269"/>
      <c r="M16" s="269"/>
      <c r="N16" s="270"/>
      <c r="O16" s="3"/>
      <c r="P16" s="282">
        <f t="shared" si="2"/>
      </c>
      <c r="Q16" s="281" t="str">
        <f>Vorrunde!CR14</f>
        <v>Griechenland</v>
      </c>
      <c r="R16" s="281"/>
      <c r="S16" s="281"/>
      <c r="T16" s="281"/>
      <c r="U16" s="281" t="s">
        <v>259</v>
      </c>
      <c r="V16" s="281" t="s">
        <v>260</v>
      </c>
      <c r="W16" s="281" t="str">
        <f>Vorrunde!AA42</f>
        <v>Griechenland</v>
      </c>
      <c r="X16" s="281"/>
      <c r="Y16" s="281"/>
      <c r="Z16" s="281"/>
      <c r="AA16" s="281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281"/>
      <c r="AM16" s="281"/>
      <c r="AN16" s="281"/>
      <c r="AO16" s="281"/>
    </row>
    <row r="17" spans="1:41" ht="13.5" customHeight="1" hidden="1">
      <c r="A17" s="3"/>
      <c r="B17" s="433" t="str">
        <f t="shared" si="1"/>
        <v>Wie weit kommt das Team Rumänien</v>
      </c>
      <c r="C17" s="434"/>
      <c r="D17" s="434"/>
      <c r="E17" s="435"/>
      <c r="F17" s="426"/>
      <c r="G17" s="426"/>
      <c r="H17" s="273"/>
      <c r="I17" s="280"/>
      <c r="J17" s="264"/>
      <c r="K17" s="298" t="str">
        <f t="shared" si="0"/>
        <v>Team scheidet in der Gruppenrunde aus</v>
      </c>
      <c r="L17" s="269"/>
      <c r="M17" s="269"/>
      <c r="N17" s="270"/>
      <c r="O17" s="3"/>
      <c r="P17" s="282">
        <f t="shared" si="2"/>
      </c>
      <c r="Q17" s="281" t="str">
        <f>Vorrunde!CR15</f>
        <v>Schweden</v>
      </c>
      <c r="R17" s="281"/>
      <c r="S17" s="281"/>
      <c r="T17" s="281"/>
      <c r="U17" s="281" t="s">
        <v>261</v>
      </c>
      <c r="V17" s="281" t="s">
        <v>262</v>
      </c>
      <c r="W17" s="281" t="str">
        <f>Vorrunde!AA43</f>
        <v>Schweden</v>
      </c>
      <c r="X17" s="281"/>
      <c r="Y17" s="281"/>
      <c r="Z17" s="281"/>
      <c r="AA17" s="281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281"/>
      <c r="AM17" s="281"/>
      <c r="AN17" s="281"/>
      <c r="AO17" s="281"/>
    </row>
    <row r="18" spans="1:41" ht="13.5" customHeight="1" hidden="1">
      <c r="A18" s="3"/>
      <c r="B18" s="433" t="str">
        <f t="shared" si="1"/>
        <v>Wie weit kommt das Team Frankreich</v>
      </c>
      <c r="C18" s="434"/>
      <c r="D18" s="434"/>
      <c r="E18" s="435"/>
      <c r="F18" s="426"/>
      <c r="G18" s="426"/>
      <c r="H18" s="273"/>
      <c r="I18" s="280"/>
      <c r="J18" s="264"/>
      <c r="K18" s="298" t="str">
        <f t="shared" si="0"/>
        <v>Team scheidet in der Gruppenrunde aus</v>
      </c>
      <c r="L18" s="269"/>
      <c r="M18" s="269"/>
      <c r="N18" s="270"/>
      <c r="O18" s="3"/>
      <c r="P18" s="282">
        <f t="shared" si="2"/>
      </c>
      <c r="Q18" s="281" t="str">
        <f>Vorrunde!CR16</f>
        <v>Spanien</v>
      </c>
      <c r="R18" s="281"/>
      <c r="S18" s="281"/>
      <c r="T18" s="281"/>
      <c r="U18" s="281" t="s">
        <v>263</v>
      </c>
      <c r="V18" s="281" t="s">
        <v>264</v>
      </c>
      <c r="W18" s="281"/>
      <c r="X18" s="281"/>
      <c r="Y18" s="281"/>
      <c r="Z18" s="281"/>
      <c r="AA18" s="281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281"/>
      <c r="AM18" s="281"/>
      <c r="AN18" s="281"/>
      <c r="AO18" s="281"/>
    </row>
    <row r="19" spans="1:41" ht="13.5" customHeight="1" hidden="1">
      <c r="A19" s="3"/>
      <c r="B19" s="433" t="str">
        <f t="shared" si="1"/>
        <v>Wie weit kommt das Team Griechenland</v>
      </c>
      <c r="C19" s="434"/>
      <c r="D19" s="434"/>
      <c r="E19" s="435"/>
      <c r="F19" s="426"/>
      <c r="G19" s="426"/>
      <c r="H19" s="273"/>
      <c r="I19" s="280"/>
      <c r="J19" s="264"/>
      <c r="K19" s="298" t="str">
        <f t="shared" si="0"/>
        <v>Das Team erreicht die KO-Runde</v>
      </c>
      <c r="L19" s="269"/>
      <c r="M19" s="269"/>
      <c r="N19" s="270"/>
      <c r="O19" s="3"/>
      <c r="P19" s="282">
        <f t="shared" si="2"/>
      </c>
      <c r="Q19" s="281" t="str">
        <f>Vorrunde!CR17</f>
        <v>Russland</v>
      </c>
      <c r="R19" s="281"/>
      <c r="S19" s="281"/>
      <c r="T19" s="281"/>
      <c r="U19" s="281" t="s">
        <v>265</v>
      </c>
      <c r="V19" s="281" t="s">
        <v>266</v>
      </c>
      <c r="W19" s="281"/>
      <c r="X19" s="281"/>
      <c r="Y19" s="281"/>
      <c r="Z19" s="281"/>
      <c r="AA19" s="281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281"/>
      <c r="AM19" s="281"/>
      <c r="AN19" s="281"/>
      <c r="AO19" s="281"/>
    </row>
    <row r="20" spans="1:41" ht="13.5" customHeight="1" hidden="1">
      <c r="A20" s="3"/>
      <c r="B20" s="433" t="str">
        <f t="shared" si="1"/>
        <v>Wie weit kommt das Team Schweden</v>
      </c>
      <c r="C20" s="434"/>
      <c r="D20" s="434"/>
      <c r="E20" s="435"/>
      <c r="F20" s="426"/>
      <c r="G20" s="426"/>
      <c r="H20" s="273"/>
      <c r="I20" s="280"/>
      <c r="J20" s="264"/>
      <c r="K20" s="298" t="str">
        <f t="shared" si="0"/>
        <v>Das Team erreicht die KO-Runde</v>
      </c>
      <c r="L20" s="269"/>
      <c r="M20" s="269"/>
      <c r="N20" s="270"/>
      <c r="O20" s="3"/>
      <c r="P20" s="282">
        <f t="shared" si="2"/>
      </c>
      <c r="Q20" s="281"/>
      <c r="R20" s="281"/>
      <c r="S20" s="281"/>
      <c r="T20" s="281"/>
      <c r="U20" s="281" t="s">
        <v>267</v>
      </c>
      <c r="V20" s="281" t="s">
        <v>268</v>
      </c>
      <c r="W20" s="281"/>
      <c r="X20" s="281"/>
      <c r="Y20" s="281"/>
      <c r="Z20" s="281"/>
      <c r="AA20" s="281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281"/>
      <c r="AM20" s="281"/>
      <c r="AN20" s="281"/>
      <c r="AO20" s="281"/>
    </row>
    <row r="21" spans="1:41" ht="13.5" customHeight="1" hidden="1">
      <c r="A21" s="3"/>
      <c r="B21" s="433" t="str">
        <f t="shared" si="1"/>
        <v>Wie weit kommt das Team Spanien</v>
      </c>
      <c r="C21" s="434"/>
      <c r="D21" s="434"/>
      <c r="E21" s="435"/>
      <c r="F21" s="426"/>
      <c r="G21" s="426"/>
      <c r="H21" s="273"/>
      <c r="I21" s="280"/>
      <c r="J21" s="264"/>
      <c r="K21" s="298" t="str">
        <f t="shared" si="0"/>
        <v>Team scheidet in der Gruppenrunde aus</v>
      </c>
      <c r="L21" s="269"/>
      <c r="M21" s="269"/>
      <c r="N21" s="270"/>
      <c r="O21" s="3"/>
      <c r="P21" s="282">
        <f t="shared" si="2"/>
      </c>
      <c r="Q21" s="281"/>
      <c r="R21" s="281"/>
      <c r="S21" s="281"/>
      <c r="T21" s="281"/>
      <c r="U21" s="281" t="s">
        <v>269</v>
      </c>
      <c r="V21" s="281" t="s">
        <v>270</v>
      </c>
      <c r="W21" s="281"/>
      <c r="X21" s="281"/>
      <c r="Y21" s="281"/>
      <c r="Z21" s="281"/>
      <c r="AA21" s="281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281"/>
      <c r="AM21" s="281"/>
      <c r="AN21" s="281"/>
      <c r="AO21" s="281"/>
    </row>
    <row r="22" spans="1:41" ht="13.5" customHeight="1" hidden="1" thickBot="1">
      <c r="A22" s="3"/>
      <c r="B22" s="433" t="str">
        <f t="shared" si="1"/>
        <v>Wie weit kommt das Team Russland</v>
      </c>
      <c r="C22" s="434"/>
      <c r="D22" s="434"/>
      <c r="E22" s="435"/>
      <c r="F22" s="426"/>
      <c r="G22" s="426"/>
      <c r="H22" s="273"/>
      <c r="I22" s="280"/>
      <c r="J22" s="264"/>
      <c r="K22" s="298" t="str">
        <f t="shared" si="0"/>
        <v>Team scheidet in der Gruppenrunde aus</v>
      </c>
      <c r="L22" s="269"/>
      <c r="M22" s="269"/>
      <c r="N22" s="270"/>
      <c r="O22" s="3"/>
      <c r="P22" s="282">
        <f t="shared" si="2"/>
      </c>
      <c r="Q22" s="281"/>
      <c r="R22" s="281"/>
      <c r="S22" s="281"/>
      <c r="T22" s="281"/>
      <c r="U22" s="281" t="s">
        <v>271</v>
      </c>
      <c r="V22" s="281" t="s">
        <v>272</v>
      </c>
      <c r="W22" s="281"/>
      <c r="X22" s="281"/>
      <c r="Y22" s="281"/>
      <c r="Z22" s="281"/>
      <c r="AA22" s="281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281"/>
      <c r="AM22" s="281"/>
      <c r="AN22" s="281"/>
      <c r="AO22" s="281"/>
    </row>
    <row r="23" spans="1:41" ht="13.5" customHeight="1" thickBot="1">
      <c r="A23" s="3"/>
      <c r="B23" s="409" t="s">
        <v>162</v>
      </c>
      <c r="C23" s="410"/>
      <c r="D23" s="410"/>
      <c r="E23" s="411"/>
      <c r="F23" s="412"/>
      <c r="G23" s="412"/>
      <c r="H23" s="274">
        <v>10</v>
      </c>
      <c r="I23" s="280"/>
      <c r="J23" s="264"/>
      <c r="K23" s="307"/>
      <c r="L23" s="265"/>
      <c r="M23" s="265"/>
      <c r="N23" s="265"/>
      <c r="O23" s="3"/>
      <c r="P23" s="282">
        <f aca="true" t="shared" si="3" ref="P23:P51">IF(OR(H23=0,LEN(F23)=0),"",IF(ISERROR(MATCH(F23,teams_lang,0)),"",MATCH(F23,teams_lang,0)))</f>
      </c>
      <c r="Q23" s="281"/>
      <c r="R23" s="281"/>
      <c r="S23" s="281"/>
      <c r="T23" s="281"/>
      <c r="U23" s="281" t="s">
        <v>273</v>
      </c>
      <c r="V23" s="281" t="s">
        <v>274</v>
      </c>
      <c r="W23" s="281"/>
      <c r="X23" s="281"/>
      <c r="Y23" s="281"/>
      <c r="Z23" s="281"/>
      <c r="AA23" s="281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281"/>
      <c r="AM23" s="281"/>
      <c r="AN23" s="281"/>
      <c r="AO23" s="281"/>
    </row>
    <row r="24" spans="1:41" ht="13.5" customHeight="1">
      <c r="A24" s="3"/>
      <c r="B24" s="409" t="s">
        <v>161</v>
      </c>
      <c r="C24" s="410"/>
      <c r="D24" s="410"/>
      <c r="E24" s="411"/>
      <c r="F24" s="412"/>
      <c r="G24" s="412"/>
      <c r="H24" s="274">
        <v>8</v>
      </c>
      <c r="I24" s="280"/>
      <c r="J24" s="264"/>
      <c r="K24" s="308"/>
      <c r="L24" s="309"/>
      <c r="M24" s="309"/>
      <c r="N24" s="309"/>
      <c r="O24" s="3"/>
      <c r="P24" s="282">
        <f>IF(OR(F24=F23,H24=0,LEN(F24)=0),"",IF(ISERROR(MATCH(F24,teams_lang,0)),"",MATCH(F24,teams_lang,0)))</f>
      </c>
      <c r="Q24" s="281"/>
      <c r="R24" s="281"/>
      <c r="S24" s="281"/>
      <c r="T24" s="281"/>
      <c r="U24" s="281" t="s">
        <v>275</v>
      </c>
      <c r="V24" s="281" t="s">
        <v>276</v>
      </c>
      <c r="W24" s="281"/>
      <c r="X24" s="281"/>
      <c r="Y24" s="281"/>
      <c r="Z24" s="281"/>
      <c r="AA24" s="281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281"/>
      <c r="AM24" s="281"/>
      <c r="AN24" s="281"/>
      <c r="AO24" s="281"/>
    </row>
    <row r="25" spans="1:41" ht="13.5" customHeight="1" hidden="1">
      <c r="A25" s="3"/>
      <c r="B25" s="416" t="s">
        <v>160</v>
      </c>
      <c r="C25" s="417"/>
      <c r="D25" s="417"/>
      <c r="E25" s="418"/>
      <c r="F25" s="412"/>
      <c r="G25" s="412"/>
      <c r="H25" s="274"/>
      <c r="I25" s="280"/>
      <c r="J25" s="264"/>
      <c r="K25" s="308"/>
      <c r="L25" s="309"/>
      <c r="M25" s="309"/>
      <c r="N25" s="309"/>
      <c r="O25" s="3"/>
      <c r="P25" s="282">
        <f t="shared" si="3"/>
      </c>
      <c r="Q25" s="281"/>
      <c r="R25" s="281"/>
      <c r="S25" s="281"/>
      <c r="T25" s="281"/>
      <c r="U25" s="281" t="s">
        <v>277</v>
      </c>
      <c r="V25" s="281" t="s">
        <v>278</v>
      </c>
      <c r="W25" s="281"/>
      <c r="X25" s="281"/>
      <c r="Y25" s="281"/>
      <c r="Z25" s="281"/>
      <c r="AA25" s="281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81"/>
      <c r="AM25" s="281"/>
      <c r="AN25" s="281"/>
      <c r="AO25" s="281"/>
    </row>
    <row r="26" spans="1:41" ht="13.5" customHeight="1" hidden="1" thickBot="1">
      <c r="A26" s="3"/>
      <c r="B26" s="419"/>
      <c r="C26" s="420"/>
      <c r="D26" s="420"/>
      <c r="E26" s="421"/>
      <c r="F26" s="422"/>
      <c r="G26" s="422"/>
      <c r="H26" s="275"/>
      <c r="I26" s="280"/>
      <c r="J26" s="264"/>
      <c r="K26" s="308"/>
      <c r="L26" s="309"/>
      <c r="M26" s="309"/>
      <c r="N26" s="309"/>
      <c r="O26" s="3"/>
      <c r="P26" s="282">
        <f>IF(OR(H26=0,LEN(F26)=0,F26=F25),"",IF(ISERROR(MATCH(F26,teams_lang,0)),"",MATCH(F26,teams_lang,0)))</f>
      </c>
      <c r="Q26" s="281"/>
      <c r="R26" s="281"/>
      <c r="S26" s="281"/>
      <c r="T26" s="281"/>
      <c r="U26" s="281" t="s">
        <v>279</v>
      </c>
      <c r="V26" s="281" t="s">
        <v>280</v>
      </c>
      <c r="W26" s="281"/>
      <c r="X26" s="281"/>
      <c r="Y26" s="281"/>
      <c r="Z26" s="281"/>
      <c r="AA26" s="281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281"/>
      <c r="AM26" s="281"/>
      <c r="AN26" s="281"/>
      <c r="AO26" s="281"/>
    </row>
    <row r="27" spans="1:41" ht="13.5" customHeight="1" hidden="1">
      <c r="A27" s="3"/>
      <c r="B27" s="416" t="s">
        <v>159</v>
      </c>
      <c r="C27" s="417"/>
      <c r="D27" s="417"/>
      <c r="E27" s="418"/>
      <c r="F27" s="412"/>
      <c r="G27" s="412"/>
      <c r="H27" s="274"/>
      <c r="I27" s="280"/>
      <c r="J27" s="264"/>
      <c r="K27" s="308"/>
      <c r="L27" s="309"/>
      <c r="M27" s="309"/>
      <c r="N27" s="309"/>
      <c r="O27" s="3"/>
      <c r="P27" s="282">
        <f t="shared" si="3"/>
      </c>
      <c r="Q27" s="281"/>
      <c r="R27" s="281"/>
      <c r="S27" s="281"/>
      <c r="T27" s="281"/>
      <c r="U27" s="281" t="s">
        <v>281</v>
      </c>
      <c r="V27" s="281" t="s">
        <v>282</v>
      </c>
      <c r="W27" s="281"/>
      <c r="X27" s="281"/>
      <c r="Y27" s="281"/>
      <c r="Z27" s="281"/>
      <c r="AA27" s="281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281"/>
      <c r="AM27" s="281"/>
      <c r="AN27" s="281"/>
      <c r="AO27" s="281"/>
    </row>
    <row r="28" spans="1:41" ht="13.5" customHeight="1" hidden="1">
      <c r="A28" s="3"/>
      <c r="B28" s="423"/>
      <c r="C28" s="424"/>
      <c r="D28" s="424"/>
      <c r="E28" s="425"/>
      <c r="F28" s="426"/>
      <c r="G28" s="426"/>
      <c r="H28" s="273"/>
      <c r="I28" s="280"/>
      <c r="J28" s="264"/>
      <c r="K28" s="308"/>
      <c r="L28" s="309"/>
      <c r="M28" s="309"/>
      <c r="N28" s="309"/>
      <c r="O28" s="3"/>
      <c r="P28" s="282">
        <f>IF(OR(COUNTIF(F$27:F27,"="&amp;F28)&gt;0,H28=0,LEN(F28)=0),"",IF(ISERROR(MATCH(F28,teams_lang,0)),"",MATCH(F28,teams_lang,0)))</f>
      </c>
      <c r="Q28" s="281"/>
      <c r="R28" s="281"/>
      <c r="S28" s="281"/>
      <c r="T28" s="281"/>
      <c r="U28" s="281" t="s">
        <v>283</v>
      </c>
      <c r="V28" s="281" t="s">
        <v>284</v>
      </c>
      <c r="W28" s="281"/>
      <c r="X28" s="281"/>
      <c r="Y28" s="281"/>
      <c r="Z28" s="281"/>
      <c r="AA28" s="281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281"/>
      <c r="AM28" s="281"/>
      <c r="AN28" s="281"/>
      <c r="AO28" s="281"/>
    </row>
    <row r="29" spans="1:41" ht="13.5" customHeight="1" hidden="1">
      <c r="A29" s="3"/>
      <c r="B29" s="423"/>
      <c r="C29" s="424"/>
      <c r="D29" s="424"/>
      <c r="E29" s="425"/>
      <c r="F29" s="426"/>
      <c r="G29" s="426"/>
      <c r="H29" s="273"/>
      <c r="I29" s="280"/>
      <c r="J29" s="264"/>
      <c r="K29" s="308"/>
      <c r="L29" s="309"/>
      <c r="M29" s="309"/>
      <c r="N29" s="309"/>
      <c r="O29" s="3"/>
      <c r="P29" s="282">
        <f>IF(OR(COUNTIF(F$27:F28,"="&amp;F29)&gt;0,H29=0,LEN(F29)=0),"",IF(ISERROR(MATCH(F29,teams_lang,0)),"",MATCH(F29,teams_lang,0)))</f>
      </c>
      <c r="Q29" s="281"/>
      <c r="R29" s="281"/>
      <c r="S29" s="281"/>
      <c r="T29" s="281"/>
      <c r="U29" s="281" t="s">
        <v>285</v>
      </c>
      <c r="V29" s="281" t="s">
        <v>286</v>
      </c>
      <c r="W29" s="281"/>
      <c r="X29" s="281"/>
      <c r="Y29" s="281"/>
      <c r="Z29" s="281"/>
      <c r="AA29" s="281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281"/>
      <c r="AM29" s="281"/>
      <c r="AN29" s="281"/>
      <c r="AO29" s="281"/>
    </row>
    <row r="30" spans="1:41" ht="13.5" customHeight="1" hidden="1" thickBot="1">
      <c r="A30" s="3"/>
      <c r="B30" s="419"/>
      <c r="C30" s="420"/>
      <c r="D30" s="420"/>
      <c r="E30" s="421"/>
      <c r="F30" s="422"/>
      <c r="G30" s="422"/>
      <c r="H30" s="275"/>
      <c r="I30" s="280"/>
      <c r="J30" s="264"/>
      <c r="K30" s="308"/>
      <c r="L30" s="309"/>
      <c r="M30" s="309"/>
      <c r="N30" s="309"/>
      <c r="O30" s="3"/>
      <c r="P30" s="282">
        <f>IF(OR(COUNTIF(F$27:F29,"="&amp;F30)&gt;0,H30=0,LEN(F30)=0),"",IF(ISERROR(MATCH(F30,teams_lang,0)),"",MATCH(F30,teams_lang,0)))</f>
      </c>
      <c r="Q30" s="281"/>
      <c r="R30" s="281"/>
      <c r="S30" s="281"/>
      <c r="T30" s="281"/>
      <c r="U30" s="281" t="s">
        <v>287</v>
      </c>
      <c r="V30" s="281" t="s">
        <v>288</v>
      </c>
      <c r="W30" s="281"/>
      <c r="X30" s="281"/>
      <c r="Y30" s="281"/>
      <c r="Z30" s="281"/>
      <c r="AA30" s="281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281"/>
      <c r="AM30" s="281"/>
      <c r="AN30" s="281"/>
      <c r="AO30" s="281"/>
    </row>
    <row r="31" spans="1:41" ht="13.5" customHeight="1" hidden="1">
      <c r="A31" s="3"/>
      <c r="B31" s="452" t="s">
        <v>230</v>
      </c>
      <c r="C31" s="453"/>
      <c r="D31" s="453"/>
      <c r="E31" s="458" t="s">
        <v>199</v>
      </c>
      <c r="F31" s="428"/>
      <c r="G31" s="429"/>
      <c r="H31" s="274"/>
      <c r="I31" s="280"/>
      <c r="J31" s="264"/>
      <c r="K31" s="297" t="str">
        <f aca="true" t="shared" si="4" ref="K31:K38">K39</f>
        <v>Schweiz  (SUI)</v>
      </c>
      <c r="L31" s="267"/>
      <c r="M31" s="267"/>
      <c r="N31" s="268"/>
      <c r="O31" s="3"/>
      <c r="P31" s="282">
        <f t="shared" si="3"/>
      </c>
      <c r="Q31" s="281"/>
      <c r="R31" s="281"/>
      <c r="S31" s="281"/>
      <c r="T31" s="281"/>
      <c r="U31" s="281" t="s">
        <v>289</v>
      </c>
      <c r="V31" s="281" t="s">
        <v>290</v>
      </c>
      <c r="W31" s="281"/>
      <c r="X31" s="281"/>
      <c r="Y31" s="281"/>
      <c r="Z31" s="281"/>
      <c r="AA31" s="281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281"/>
      <c r="AM31" s="281"/>
      <c r="AN31" s="281"/>
      <c r="AO31" s="281"/>
    </row>
    <row r="32" spans="1:41" ht="13.5" customHeight="1" hidden="1">
      <c r="A32" s="3"/>
      <c r="B32" s="454"/>
      <c r="C32" s="455"/>
      <c r="D32" s="455"/>
      <c r="E32" s="459"/>
      <c r="F32" s="427"/>
      <c r="G32" s="430"/>
      <c r="H32" s="271"/>
      <c r="I32" s="280"/>
      <c r="J32" s="264"/>
      <c r="K32" s="297" t="str">
        <f t="shared" si="4"/>
        <v>Österreich  (AUT)</v>
      </c>
      <c r="L32" s="269"/>
      <c r="M32" s="269"/>
      <c r="N32" s="270"/>
      <c r="O32" s="3"/>
      <c r="P32" s="282">
        <f t="shared" si="3"/>
      </c>
      <c r="Q32" s="281"/>
      <c r="R32" s="281"/>
      <c r="S32" s="281"/>
      <c r="T32" s="281"/>
      <c r="U32" s="281" t="s">
        <v>291</v>
      </c>
      <c r="V32" s="281" t="s">
        <v>292</v>
      </c>
      <c r="W32" s="281"/>
      <c r="X32" s="281"/>
      <c r="Y32" s="281"/>
      <c r="Z32" s="281"/>
      <c r="AA32" s="281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281"/>
      <c r="AM32" s="281"/>
      <c r="AN32" s="281"/>
      <c r="AO32" s="281"/>
    </row>
    <row r="33" spans="1:41" ht="13.5" customHeight="1" hidden="1">
      <c r="A33" s="3"/>
      <c r="B33" s="454"/>
      <c r="C33" s="455"/>
      <c r="D33" s="455"/>
      <c r="E33" s="459"/>
      <c r="F33" s="427"/>
      <c r="G33" s="430"/>
      <c r="H33" s="289"/>
      <c r="I33" s="280"/>
      <c r="J33" s="264"/>
      <c r="K33" s="297" t="str">
        <f t="shared" si="4"/>
        <v>Niederlande  (NED)</v>
      </c>
      <c r="L33" s="269"/>
      <c r="M33" s="269"/>
      <c r="N33" s="270"/>
      <c r="O33" s="3"/>
      <c r="P33" s="282">
        <f t="shared" si="3"/>
      </c>
      <c r="Q33" s="281"/>
      <c r="R33" s="281"/>
      <c r="S33" s="281"/>
      <c r="T33" s="281"/>
      <c r="U33" s="281" t="s">
        <v>293</v>
      </c>
      <c r="V33" s="281" t="s">
        <v>294</v>
      </c>
      <c r="W33" s="281"/>
      <c r="X33" s="281"/>
      <c r="Y33" s="281"/>
      <c r="Z33" s="281"/>
      <c r="AA33" s="281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281"/>
      <c r="AM33" s="281"/>
      <c r="AN33" s="281"/>
      <c r="AO33" s="281"/>
    </row>
    <row r="34" spans="1:41" ht="13.5" customHeight="1" hidden="1" thickBot="1">
      <c r="A34" s="3"/>
      <c r="B34" s="454"/>
      <c r="C34" s="455"/>
      <c r="D34" s="455"/>
      <c r="E34" s="460"/>
      <c r="F34" s="431"/>
      <c r="G34" s="432"/>
      <c r="H34" s="275"/>
      <c r="I34" s="280"/>
      <c r="J34" s="264"/>
      <c r="K34" s="297" t="str">
        <f t="shared" si="4"/>
        <v>Griechenland  (GRE)</v>
      </c>
      <c r="L34" s="269"/>
      <c r="M34" s="269"/>
      <c r="N34" s="270"/>
      <c r="O34" s="3"/>
      <c r="P34" s="282">
        <f t="shared" si="3"/>
      </c>
      <c r="Q34" s="281"/>
      <c r="R34" s="281"/>
      <c r="S34" s="281"/>
      <c r="T34" s="281"/>
      <c r="U34" s="281" t="s">
        <v>295</v>
      </c>
      <c r="V34" s="281" t="s">
        <v>296</v>
      </c>
      <c r="W34" s="281"/>
      <c r="X34" s="281"/>
      <c r="Y34" s="281"/>
      <c r="Z34" s="281"/>
      <c r="AA34" s="281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81"/>
      <c r="AM34" s="281"/>
      <c r="AN34" s="281"/>
      <c r="AO34" s="281"/>
    </row>
    <row r="35" spans="1:41" ht="13.5" customHeight="1" hidden="1">
      <c r="A35" s="3"/>
      <c r="B35" s="454"/>
      <c r="C35" s="455"/>
      <c r="D35" s="455"/>
      <c r="E35" s="461" t="s">
        <v>198</v>
      </c>
      <c r="F35" s="428"/>
      <c r="G35" s="429"/>
      <c r="H35" s="274"/>
      <c r="I35" s="280"/>
      <c r="J35" s="264"/>
      <c r="K35" s="298" t="str">
        <f t="shared" si="4"/>
        <v>Tschechien  (CZE)</v>
      </c>
      <c r="L35" s="269"/>
      <c r="M35" s="269"/>
      <c r="N35" s="270"/>
      <c r="O35" s="3"/>
      <c r="P35" s="282">
        <f>IF(OR(F35=F31,H35=0,LEN(F35)=0),"",IF(ISERROR(MATCH(F35,teams_lang,0)),"",MATCH(F35,teams_lang,0)))</f>
      </c>
      <c r="Q35" s="281"/>
      <c r="R35" s="281"/>
      <c r="S35" s="281"/>
      <c r="T35" s="281"/>
      <c r="U35" s="281" t="s">
        <v>297</v>
      </c>
      <c r="V35" s="281" t="s">
        <v>298</v>
      </c>
      <c r="W35" s="281"/>
      <c r="X35" s="281"/>
      <c r="Y35" s="281"/>
      <c r="Z35" s="281"/>
      <c r="AA35" s="281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81"/>
      <c r="AM35" s="281"/>
      <c r="AN35" s="281"/>
      <c r="AO35" s="281"/>
    </row>
    <row r="36" spans="1:41" ht="13.5" customHeight="1" hidden="1">
      <c r="A36" s="3"/>
      <c r="B36" s="454"/>
      <c r="C36" s="455"/>
      <c r="D36" s="455"/>
      <c r="E36" s="462"/>
      <c r="F36" s="427"/>
      <c r="G36" s="430"/>
      <c r="H36" s="271"/>
      <c r="I36" s="280"/>
      <c r="J36" s="264"/>
      <c r="K36" s="298" t="str">
        <f t="shared" si="4"/>
        <v>Kroatien  (CRO)</v>
      </c>
      <c r="L36" s="269"/>
      <c r="M36" s="269"/>
      <c r="N36" s="270"/>
      <c r="O36" s="3"/>
      <c r="P36" s="282">
        <f>IF(OR(F36=F32,H36=0,LEN(F36)=0),"",IF(ISERROR(MATCH(F36,teams_lang,0)),"",MATCH(F36,teams_lang,0)))</f>
      </c>
      <c r="Q36" s="281"/>
      <c r="R36" s="281"/>
      <c r="S36" s="281"/>
      <c r="T36" s="281"/>
      <c r="U36" s="281" t="s">
        <v>299</v>
      </c>
      <c r="V36" s="281" t="s">
        <v>300</v>
      </c>
      <c r="W36" s="281"/>
      <c r="X36" s="281"/>
      <c r="Y36" s="281"/>
      <c r="Z36" s="281"/>
      <c r="AA36" s="281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281"/>
      <c r="AM36" s="281"/>
      <c r="AN36" s="281"/>
      <c r="AO36" s="281"/>
    </row>
    <row r="37" spans="1:41" ht="13.5" customHeight="1" hidden="1">
      <c r="A37" s="3"/>
      <c r="B37" s="454"/>
      <c r="C37" s="455"/>
      <c r="D37" s="455"/>
      <c r="E37" s="462"/>
      <c r="F37" s="427"/>
      <c r="G37" s="430"/>
      <c r="H37" s="289"/>
      <c r="I37" s="280"/>
      <c r="J37" s="264"/>
      <c r="K37" s="298" t="str">
        <f t="shared" si="4"/>
        <v>Italien  (ITA)</v>
      </c>
      <c r="L37" s="269"/>
      <c r="M37" s="269"/>
      <c r="N37" s="270"/>
      <c r="O37" s="3"/>
      <c r="P37" s="282">
        <f>IF(OR(F37=F33,H37=0,LEN(F37)=0),"",IF(ISERROR(MATCH(F37,teams_lang,0)),"",MATCH(F37,teams_lang,0)))</f>
      </c>
      <c r="Q37" s="281"/>
      <c r="R37" s="281"/>
      <c r="S37" s="281"/>
      <c r="T37" s="281"/>
      <c r="U37" s="281" t="s">
        <v>301</v>
      </c>
      <c r="V37" s="281" t="s">
        <v>302</v>
      </c>
      <c r="W37" s="281"/>
      <c r="X37" s="281"/>
      <c r="Y37" s="281"/>
      <c r="Z37" s="281"/>
      <c r="AA37" s="281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281"/>
      <c r="AM37" s="281"/>
      <c r="AN37" s="281"/>
      <c r="AO37" s="281"/>
    </row>
    <row r="38" spans="1:41" ht="13.5" customHeight="1" hidden="1" thickBot="1">
      <c r="A38" s="3"/>
      <c r="B38" s="456"/>
      <c r="C38" s="457"/>
      <c r="D38" s="457"/>
      <c r="E38" s="463"/>
      <c r="F38" s="431"/>
      <c r="G38" s="432"/>
      <c r="H38" s="277"/>
      <c r="I38" s="280"/>
      <c r="J38" s="264"/>
      <c r="K38" s="298" t="str">
        <f t="shared" si="4"/>
        <v>Schweden  (SWE)</v>
      </c>
      <c r="L38" s="269"/>
      <c r="M38" s="269"/>
      <c r="N38" s="270"/>
      <c r="O38" s="3"/>
      <c r="P38" s="282">
        <f>IF(OR(F38=F34,H38=0,LEN(F38)=0),"",IF(ISERROR(MATCH(F38,teams_lang,0)),"",MATCH(F38,teams_lang,0)))</f>
      </c>
      <c r="Q38" s="281"/>
      <c r="R38" s="281"/>
      <c r="S38" s="281"/>
      <c r="T38" s="281"/>
      <c r="U38" s="281" t="s">
        <v>303</v>
      </c>
      <c r="V38" s="281" t="s">
        <v>304</v>
      </c>
      <c r="W38" s="281"/>
      <c r="X38" s="281"/>
      <c r="Y38" s="281"/>
      <c r="Z38" s="281"/>
      <c r="AA38" s="281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81"/>
      <c r="AM38" s="281"/>
      <c r="AN38" s="281"/>
      <c r="AO38" s="281"/>
    </row>
    <row r="39" spans="1:41" ht="13.5" customHeight="1" hidden="1">
      <c r="A39" s="3"/>
      <c r="B39" s="447" t="s">
        <v>151</v>
      </c>
      <c r="C39" s="448"/>
      <c r="D39" s="448"/>
      <c r="E39" s="449"/>
      <c r="F39" s="450"/>
      <c r="G39" s="451"/>
      <c r="H39" s="278"/>
      <c r="I39" s="280"/>
      <c r="J39" s="264"/>
      <c r="K39" s="297" t="str">
        <f>'KO-Runde'!D7</f>
        <v>Schweiz  (SUI)</v>
      </c>
      <c r="L39" s="267"/>
      <c r="M39" s="267"/>
      <c r="N39" s="268"/>
      <c r="O39" s="3"/>
      <c r="P39" s="282">
        <f t="shared" si="3"/>
      </c>
      <c r="Q39" s="281"/>
      <c r="R39" s="281"/>
      <c r="S39" s="281"/>
      <c r="T39" s="281"/>
      <c r="U39" s="281" t="s">
        <v>305</v>
      </c>
      <c r="V39" s="281" t="s">
        <v>306</v>
      </c>
      <c r="W39" s="281"/>
      <c r="X39" s="281"/>
      <c r="Y39" s="281"/>
      <c r="Z39" s="281"/>
      <c r="AA39" s="281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281"/>
      <c r="AM39" s="281"/>
      <c r="AN39" s="281"/>
      <c r="AO39" s="281"/>
    </row>
    <row r="40" spans="1:41" ht="13.5" customHeight="1" hidden="1">
      <c r="A40" s="3"/>
      <c r="B40" s="433" t="s">
        <v>152</v>
      </c>
      <c r="C40" s="434"/>
      <c r="D40" s="434"/>
      <c r="E40" s="435"/>
      <c r="F40" s="427"/>
      <c r="G40" s="426"/>
      <c r="H40" s="273"/>
      <c r="I40" s="280"/>
      <c r="J40" s="264"/>
      <c r="K40" s="298" t="str">
        <f>'KO-Runde'!H7</f>
        <v>Österreich  (AUT)</v>
      </c>
      <c r="L40" s="269"/>
      <c r="M40" s="269"/>
      <c r="N40" s="270"/>
      <c r="O40" s="3"/>
      <c r="P40" s="282">
        <f t="shared" si="3"/>
      </c>
      <c r="Q40" s="281"/>
      <c r="R40" s="281"/>
      <c r="S40" s="281"/>
      <c r="T40" s="281"/>
      <c r="U40" s="281" t="s">
        <v>307</v>
      </c>
      <c r="V40" s="281" t="s">
        <v>308</v>
      </c>
      <c r="W40" s="281"/>
      <c r="X40" s="281"/>
      <c r="Y40" s="281"/>
      <c r="Z40" s="281"/>
      <c r="AA40" s="281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281"/>
      <c r="AM40" s="281"/>
      <c r="AN40" s="281"/>
      <c r="AO40" s="281"/>
    </row>
    <row r="41" spans="1:41" ht="13.5" customHeight="1" hidden="1">
      <c r="A41" s="3"/>
      <c r="B41" s="433" t="s">
        <v>153</v>
      </c>
      <c r="C41" s="434"/>
      <c r="D41" s="434"/>
      <c r="E41" s="435"/>
      <c r="F41" s="427"/>
      <c r="G41" s="426"/>
      <c r="H41" s="273"/>
      <c r="I41" s="280"/>
      <c r="J41" s="264"/>
      <c r="K41" s="298" t="str">
        <f>'KO-Runde'!M7</f>
        <v>Niederlande  (NED)</v>
      </c>
      <c r="L41" s="269"/>
      <c r="M41" s="269"/>
      <c r="N41" s="270"/>
      <c r="O41" s="3"/>
      <c r="P41" s="282">
        <f t="shared" si="3"/>
      </c>
      <c r="Q41" s="281"/>
      <c r="R41" s="281"/>
      <c r="S41" s="281"/>
      <c r="T41" s="281"/>
      <c r="U41" s="281" t="s">
        <v>309</v>
      </c>
      <c r="V41" s="281" t="s">
        <v>310</v>
      </c>
      <c r="W41" s="281"/>
      <c r="X41" s="281"/>
      <c r="Y41" s="281"/>
      <c r="Z41" s="281"/>
      <c r="AA41" s="281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281"/>
      <c r="AM41" s="281"/>
      <c r="AN41" s="281"/>
      <c r="AO41" s="281"/>
    </row>
    <row r="42" spans="1:41" ht="13.5" customHeight="1" hidden="1">
      <c r="A42" s="3"/>
      <c r="B42" s="433" t="s">
        <v>154</v>
      </c>
      <c r="C42" s="434"/>
      <c r="D42" s="434"/>
      <c r="E42" s="435"/>
      <c r="F42" s="427"/>
      <c r="G42" s="426"/>
      <c r="H42" s="273"/>
      <c r="I42" s="280"/>
      <c r="J42" s="264"/>
      <c r="K42" s="298" t="str">
        <f>'KO-Runde'!R7</f>
        <v>Griechenland  (GRE)</v>
      </c>
      <c r="L42" s="269"/>
      <c r="M42" s="269"/>
      <c r="N42" s="270"/>
      <c r="O42" s="3"/>
      <c r="P42" s="282">
        <f t="shared" si="3"/>
      </c>
      <c r="Q42" s="281"/>
      <c r="R42" s="281"/>
      <c r="S42" s="281"/>
      <c r="T42" s="281"/>
      <c r="U42" s="281" t="s">
        <v>311</v>
      </c>
      <c r="V42" s="281" t="s">
        <v>312</v>
      </c>
      <c r="W42" s="281"/>
      <c r="X42" s="281"/>
      <c r="Y42" s="281"/>
      <c r="Z42" s="281"/>
      <c r="AA42" s="281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281"/>
      <c r="AM42" s="281"/>
      <c r="AN42" s="281"/>
      <c r="AO42" s="281"/>
    </row>
    <row r="43" spans="1:41" ht="13.5" customHeight="1" hidden="1">
      <c r="A43" s="3"/>
      <c r="B43" s="433" t="s">
        <v>155</v>
      </c>
      <c r="C43" s="434"/>
      <c r="D43" s="434"/>
      <c r="E43" s="435"/>
      <c r="F43" s="427"/>
      <c r="G43" s="426"/>
      <c r="H43" s="273"/>
      <c r="I43" s="280"/>
      <c r="J43" s="264"/>
      <c r="K43" s="298" t="str">
        <f>'KO-Runde'!D8</f>
        <v>Tschechien  (CZE)</v>
      </c>
      <c r="L43" s="269"/>
      <c r="M43" s="269"/>
      <c r="N43" s="270"/>
      <c r="O43" s="3"/>
      <c r="P43" s="282">
        <f>IF(OR(F43=F39,H43=0,LEN(F43)=0),"",IF(ISERROR(MATCH(F43,teams_lang,0)),"",MATCH(F43,teams_lang,0)))</f>
      </c>
      <c r="Q43" s="281"/>
      <c r="R43" s="281"/>
      <c r="S43" s="281"/>
      <c r="T43" s="281"/>
      <c r="U43" s="281" t="s">
        <v>313</v>
      </c>
      <c r="V43" s="281" t="s">
        <v>314</v>
      </c>
      <c r="W43" s="281"/>
      <c r="X43" s="281"/>
      <c r="Y43" s="281"/>
      <c r="Z43" s="281"/>
      <c r="AA43" s="281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281"/>
      <c r="AM43" s="281"/>
      <c r="AN43" s="281"/>
      <c r="AO43" s="281"/>
    </row>
    <row r="44" spans="1:41" ht="13.5" customHeight="1" hidden="1">
      <c r="A44" s="3"/>
      <c r="B44" s="433" t="s">
        <v>156</v>
      </c>
      <c r="C44" s="434"/>
      <c r="D44" s="434"/>
      <c r="E44" s="435"/>
      <c r="F44" s="427"/>
      <c r="G44" s="426"/>
      <c r="H44" s="273"/>
      <c r="I44" s="280"/>
      <c r="J44" s="264"/>
      <c r="K44" s="298" t="str">
        <f>'KO-Runde'!H8</f>
        <v>Kroatien  (CRO)</v>
      </c>
      <c r="L44" s="269"/>
      <c r="M44" s="269"/>
      <c r="N44" s="270"/>
      <c r="O44" s="3"/>
      <c r="P44" s="282">
        <f>IF(OR(F44=F40,H44=0,LEN(F44)=0),"",IF(ISERROR(MATCH(F44,teams_lang,0)),"",MATCH(F44,teams_lang,0)))</f>
      </c>
      <c r="Q44" s="281"/>
      <c r="R44" s="281"/>
      <c r="S44" s="281"/>
      <c r="T44" s="281"/>
      <c r="U44" s="281" t="s">
        <v>315</v>
      </c>
      <c r="V44" s="281" t="s">
        <v>316</v>
      </c>
      <c r="W44" s="281"/>
      <c r="X44" s="281"/>
      <c r="Y44" s="281"/>
      <c r="Z44" s="281"/>
      <c r="AA44" s="281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81"/>
      <c r="AM44" s="281"/>
      <c r="AN44" s="281"/>
      <c r="AO44" s="281"/>
    </row>
    <row r="45" spans="1:41" ht="13.5" customHeight="1" hidden="1">
      <c r="A45" s="3"/>
      <c r="B45" s="433" t="s">
        <v>157</v>
      </c>
      <c r="C45" s="434"/>
      <c r="D45" s="434"/>
      <c r="E45" s="435"/>
      <c r="F45" s="427"/>
      <c r="G45" s="426"/>
      <c r="H45" s="273"/>
      <c r="I45" s="280"/>
      <c r="J45" s="264"/>
      <c r="K45" s="298" t="str">
        <f>'KO-Runde'!M8</f>
        <v>Italien  (ITA)</v>
      </c>
      <c r="L45" s="269"/>
      <c r="M45" s="269"/>
      <c r="N45" s="270"/>
      <c r="O45" s="3"/>
      <c r="P45" s="282">
        <f>IF(OR(F45=F41,H45=0,LEN(F45)=0),"",IF(ISERROR(MATCH(F45,teams_lang,0)),"",MATCH(F45,teams_lang,0)))</f>
      </c>
      <c r="Q45" s="281"/>
      <c r="R45" s="281"/>
      <c r="S45" s="281"/>
      <c r="T45" s="281"/>
      <c r="U45" s="281" t="s">
        <v>317</v>
      </c>
      <c r="V45" s="281" t="s">
        <v>318</v>
      </c>
      <c r="W45" s="281"/>
      <c r="X45" s="281"/>
      <c r="Y45" s="281"/>
      <c r="Z45" s="281"/>
      <c r="AA45" s="281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281"/>
      <c r="AM45" s="281"/>
      <c r="AN45" s="281"/>
      <c r="AO45" s="281"/>
    </row>
    <row r="46" spans="1:41" ht="13.5" customHeight="1" hidden="1" thickBot="1">
      <c r="A46" s="3"/>
      <c r="B46" s="436" t="s">
        <v>158</v>
      </c>
      <c r="C46" s="437"/>
      <c r="D46" s="437"/>
      <c r="E46" s="438"/>
      <c r="F46" s="439"/>
      <c r="G46" s="440"/>
      <c r="H46" s="271"/>
      <c r="I46" s="280"/>
      <c r="J46" s="264"/>
      <c r="K46" s="298" t="str">
        <f>'KO-Runde'!R8</f>
        <v>Schweden  (SWE)</v>
      </c>
      <c r="L46" s="269"/>
      <c r="M46" s="269"/>
      <c r="N46" s="270"/>
      <c r="O46" s="3"/>
      <c r="P46" s="282">
        <f>IF(OR(F46=F42,H46=0,LEN(F46)=0),"",IF(ISERROR(MATCH(F46,teams_lang,0)),"",MATCH(F46,teams_lang,0)))</f>
      </c>
      <c r="Q46" s="281"/>
      <c r="R46" s="281"/>
      <c r="S46" s="281"/>
      <c r="T46" s="281"/>
      <c r="U46" s="281" t="s">
        <v>319</v>
      </c>
      <c r="V46" s="281" t="s">
        <v>320</v>
      </c>
      <c r="W46" s="281"/>
      <c r="X46" s="281"/>
      <c r="Y46" s="281"/>
      <c r="Z46" s="281"/>
      <c r="AA46" s="281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281"/>
      <c r="AM46" s="281"/>
      <c r="AN46" s="281"/>
      <c r="AO46" s="281"/>
    </row>
    <row r="47" spans="1:41" ht="13.5" customHeight="1" hidden="1" thickBot="1">
      <c r="A47" s="3"/>
      <c r="B47" s="413" t="s">
        <v>180</v>
      </c>
      <c r="C47" s="414"/>
      <c r="D47" s="414"/>
      <c r="E47" s="415"/>
      <c r="F47" s="444"/>
      <c r="G47" s="445"/>
      <c r="H47" s="290"/>
      <c r="I47" s="280"/>
      <c r="J47" s="264"/>
      <c r="K47" s="299"/>
      <c r="L47" s="265"/>
      <c r="M47" s="265"/>
      <c r="N47" s="266"/>
      <c r="O47" s="3"/>
      <c r="P47" s="282">
        <f t="shared" si="3"/>
      </c>
      <c r="Q47" s="281"/>
      <c r="R47" s="281"/>
      <c r="S47" s="281"/>
      <c r="T47" s="281"/>
      <c r="U47" s="281" t="s">
        <v>321</v>
      </c>
      <c r="V47" s="281" t="s">
        <v>322</v>
      </c>
      <c r="W47" s="281"/>
      <c r="X47" s="281"/>
      <c r="Y47" s="281"/>
      <c r="Z47" s="281"/>
      <c r="AA47" s="281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281"/>
      <c r="AM47" s="281"/>
      <c r="AN47" s="281"/>
      <c r="AO47" s="281"/>
    </row>
    <row r="48" spans="1:41" ht="13.5" customHeight="1" hidden="1">
      <c r="A48" s="3"/>
      <c r="B48" s="447" t="s">
        <v>147</v>
      </c>
      <c r="C48" s="448"/>
      <c r="D48" s="448"/>
      <c r="E48" s="449"/>
      <c r="F48" s="451"/>
      <c r="G48" s="451"/>
      <c r="H48" s="292"/>
      <c r="I48" s="280"/>
      <c r="J48" s="264"/>
      <c r="K48" s="298" t="str">
        <f>Vorrunde!$AQ$56</f>
        <v>Schweiz</v>
      </c>
      <c r="L48" s="269"/>
      <c r="M48" s="269"/>
      <c r="N48" s="270"/>
      <c r="O48" s="3"/>
      <c r="P48" s="282">
        <f t="shared" si="3"/>
      </c>
      <c r="Q48" s="281"/>
      <c r="R48" s="281"/>
      <c r="S48" s="281"/>
      <c r="T48" s="281"/>
      <c r="U48" s="281" t="s">
        <v>323</v>
      </c>
      <c r="V48" s="281" t="s">
        <v>324</v>
      </c>
      <c r="W48" s="281"/>
      <c r="X48" s="281"/>
      <c r="Y48" s="281"/>
      <c r="Z48" s="281"/>
      <c r="AA48" s="281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281"/>
      <c r="AM48" s="281"/>
      <c r="AN48" s="281"/>
      <c r="AO48" s="281"/>
    </row>
    <row r="49" spans="1:41" ht="13.5" customHeight="1" hidden="1">
      <c r="A49" s="3"/>
      <c r="B49" s="433" t="s">
        <v>148</v>
      </c>
      <c r="C49" s="434"/>
      <c r="D49" s="434"/>
      <c r="E49" s="435"/>
      <c r="F49" s="426"/>
      <c r="G49" s="426"/>
      <c r="H49" s="273"/>
      <c r="I49" s="280"/>
      <c r="J49" s="264"/>
      <c r="K49" s="298" t="str">
        <f>Vorrunde!$AQ$58</f>
        <v>Schweiz</v>
      </c>
      <c r="L49" s="269"/>
      <c r="M49" s="269"/>
      <c r="N49" s="270"/>
      <c r="O49" s="3"/>
      <c r="P49" s="282">
        <f t="shared" si="3"/>
      </c>
      <c r="Q49" s="281"/>
      <c r="R49" s="281"/>
      <c r="S49" s="281"/>
      <c r="T49" s="281"/>
      <c r="U49" s="281" t="s">
        <v>325</v>
      </c>
      <c r="V49" s="281" t="s">
        <v>326</v>
      </c>
      <c r="W49" s="281"/>
      <c r="X49" s="281"/>
      <c r="Y49" s="281"/>
      <c r="Z49" s="281"/>
      <c r="AA49" s="281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281"/>
      <c r="AM49" s="281"/>
      <c r="AN49" s="281"/>
      <c r="AO49" s="281"/>
    </row>
    <row r="50" spans="1:41" ht="13.5" customHeight="1" hidden="1">
      <c r="A50" s="3"/>
      <c r="B50" s="433" t="s">
        <v>149</v>
      </c>
      <c r="C50" s="434"/>
      <c r="D50" s="434"/>
      <c r="E50" s="435"/>
      <c r="F50" s="426"/>
      <c r="G50" s="426"/>
      <c r="H50" s="273"/>
      <c r="I50" s="280"/>
      <c r="J50" s="264"/>
      <c r="K50" s="298" t="str">
        <f>Vorrunde!$AQ$61</f>
        <v>Schweiz</v>
      </c>
      <c r="L50" s="269"/>
      <c r="M50" s="269"/>
      <c r="N50" s="270"/>
      <c r="O50" s="3"/>
      <c r="P50" s="282">
        <f t="shared" si="3"/>
      </c>
      <c r="Q50" s="281"/>
      <c r="R50" s="281"/>
      <c r="S50" s="281"/>
      <c r="T50" s="281"/>
      <c r="U50" s="281" t="s">
        <v>327</v>
      </c>
      <c r="V50" s="281" t="s">
        <v>328</v>
      </c>
      <c r="W50" s="281"/>
      <c r="X50" s="281"/>
      <c r="Y50" s="281"/>
      <c r="Z50" s="281"/>
      <c r="AA50" s="281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281"/>
      <c r="AM50" s="281"/>
      <c r="AN50" s="281"/>
      <c r="AO50" s="281"/>
    </row>
    <row r="51" spans="1:41" ht="13.5" customHeight="1" hidden="1" thickBot="1">
      <c r="A51" s="3"/>
      <c r="B51" s="436" t="s">
        <v>150</v>
      </c>
      <c r="C51" s="437"/>
      <c r="D51" s="437"/>
      <c r="E51" s="438"/>
      <c r="F51" s="440"/>
      <c r="G51" s="440"/>
      <c r="H51" s="271"/>
      <c r="I51" s="280"/>
      <c r="J51" s="264"/>
      <c r="K51" s="298" t="str">
        <f>Vorrunde!$AQ$63</f>
        <v>Schweiz</v>
      </c>
      <c r="L51" s="269"/>
      <c r="M51" s="269"/>
      <c r="N51" s="270"/>
      <c r="O51" s="3"/>
      <c r="P51" s="282">
        <f t="shared" si="3"/>
      </c>
      <c r="Q51" s="281"/>
      <c r="R51" s="281"/>
      <c r="S51" s="281"/>
      <c r="T51" s="281"/>
      <c r="U51" s="281" t="s">
        <v>329</v>
      </c>
      <c r="V51" s="281" t="s">
        <v>330</v>
      </c>
      <c r="W51" s="281"/>
      <c r="X51" s="281"/>
      <c r="Y51" s="281"/>
      <c r="Z51" s="281"/>
      <c r="AA51" s="281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281"/>
      <c r="AM51" s="281"/>
      <c r="AN51" s="281"/>
      <c r="AO51" s="281"/>
    </row>
    <row r="52" spans="1:41" ht="13.5" customHeight="1" hidden="1">
      <c r="A52" s="3"/>
      <c r="B52" s="441" t="s">
        <v>146</v>
      </c>
      <c r="C52" s="442"/>
      <c r="D52" s="442"/>
      <c r="E52" s="443"/>
      <c r="F52" s="446"/>
      <c r="G52" s="446"/>
      <c r="H52" s="291"/>
      <c r="I52" s="280"/>
      <c r="J52" s="264"/>
      <c r="K52" s="298" t="str">
        <f>INDEX(S4:S7,Vorrunde!AM61)</f>
        <v>Gruppe A</v>
      </c>
      <c r="L52" s="269"/>
      <c r="M52" s="269"/>
      <c r="N52" s="270"/>
      <c r="O52" s="3"/>
      <c r="P52" s="282">
        <f>IF(OR(H52=0,LEN(F52)=0),"",IF(ISERROR(MATCH(F52,$S$4:$S$7,0)),"",MATCH(F52,$S$4:$S$7,0)))</f>
      </c>
      <c r="Q52" s="281"/>
      <c r="R52" s="281"/>
      <c r="S52" s="281"/>
      <c r="T52" s="281"/>
      <c r="U52" s="281" t="s">
        <v>331</v>
      </c>
      <c r="V52" s="281" t="s">
        <v>332</v>
      </c>
      <c r="W52" s="281"/>
      <c r="X52" s="281"/>
      <c r="Y52" s="281"/>
      <c r="Z52" s="281"/>
      <c r="AA52" s="281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281"/>
      <c r="AM52" s="281"/>
      <c r="AN52" s="281"/>
      <c r="AO52" s="281"/>
    </row>
    <row r="53" spans="1:41" ht="13.5" customHeight="1" hidden="1">
      <c r="A53" s="3"/>
      <c r="B53" s="433" t="s">
        <v>181</v>
      </c>
      <c r="C53" s="434"/>
      <c r="D53" s="434"/>
      <c r="E53" s="435"/>
      <c r="F53" s="426"/>
      <c r="G53" s="426"/>
      <c r="H53" s="273"/>
      <c r="I53" s="280"/>
      <c r="J53" s="264"/>
      <c r="K53" s="298" t="str">
        <f>INDEX(S4:S7,Vorrunde!AM63)</f>
        <v>Gruppe A</v>
      </c>
      <c r="L53" s="269"/>
      <c r="M53" s="269"/>
      <c r="N53" s="270"/>
      <c r="O53" s="3"/>
      <c r="P53" s="282">
        <f>IF(OR(H53=0,LEN(F53)=0),"",IF(ISERROR(MATCH(F53,$S$4:$S$7,0)),"",MATCH(F53,$S$4:$S$7,0)))</f>
      </c>
      <c r="Q53" s="281"/>
      <c r="R53" s="281"/>
      <c r="S53" s="281"/>
      <c r="T53" s="281"/>
      <c r="U53" s="281" t="s">
        <v>333</v>
      </c>
      <c r="V53" s="281" t="s">
        <v>334</v>
      </c>
      <c r="W53" s="281"/>
      <c r="X53" s="281"/>
      <c r="Y53" s="281"/>
      <c r="Z53" s="281"/>
      <c r="AA53" s="281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281"/>
      <c r="AM53" s="281"/>
      <c r="AN53" s="281"/>
      <c r="AO53" s="281"/>
    </row>
    <row r="54" spans="1:4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96"/>
      <c r="L54" s="3"/>
      <c r="M54" s="3"/>
      <c r="N54" s="3"/>
      <c r="O54" s="3"/>
      <c r="P54" s="281"/>
      <c r="Q54" s="281"/>
      <c r="R54" s="281"/>
      <c r="S54" s="281"/>
      <c r="T54" s="281"/>
      <c r="U54" s="281" t="s">
        <v>335</v>
      </c>
      <c r="V54" s="281" t="s">
        <v>336</v>
      </c>
      <c r="W54" s="281"/>
      <c r="X54" s="281"/>
      <c r="Y54" s="281"/>
      <c r="Z54" s="281"/>
      <c r="AA54" s="281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281"/>
      <c r="AM54" s="281"/>
      <c r="AN54" s="281"/>
      <c r="AO54" s="281"/>
    </row>
    <row r="55" spans="1:4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81"/>
      <c r="Q55" s="281"/>
      <c r="R55" s="281"/>
      <c r="S55" s="281"/>
      <c r="T55" s="281"/>
      <c r="U55" s="281" t="s">
        <v>337</v>
      </c>
      <c r="V55" s="281" t="s">
        <v>338</v>
      </c>
      <c r="W55" s="281"/>
      <c r="X55" s="281"/>
      <c r="Y55" s="281"/>
      <c r="Z55" s="281"/>
      <c r="AA55" s="281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281"/>
      <c r="AM55" s="281"/>
      <c r="AN55" s="281"/>
      <c r="AO55" s="281"/>
    </row>
    <row r="56" spans="1:4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1"/>
      <c r="Q56" s="281"/>
      <c r="R56" s="281"/>
      <c r="S56" s="281"/>
      <c r="T56" s="281"/>
      <c r="U56" s="281" t="s">
        <v>339</v>
      </c>
      <c r="V56" s="281" t="s">
        <v>340</v>
      </c>
      <c r="W56" s="281"/>
      <c r="X56" s="281"/>
      <c r="Y56" s="281"/>
      <c r="Z56" s="281"/>
      <c r="AA56" s="281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281"/>
      <c r="AM56" s="281"/>
      <c r="AN56" s="281"/>
      <c r="AO56" s="281"/>
    </row>
    <row r="57" spans="1:4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81"/>
      <c r="Q57" s="281"/>
      <c r="R57" s="281"/>
      <c r="S57" s="281"/>
      <c r="T57" s="281"/>
      <c r="U57" s="281" t="s">
        <v>341</v>
      </c>
      <c r="V57" s="281" t="s">
        <v>342</v>
      </c>
      <c r="W57" s="281"/>
      <c r="X57" s="281"/>
      <c r="Y57" s="281"/>
      <c r="Z57" s="281"/>
      <c r="AA57" s="281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281"/>
      <c r="AM57" s="281"/>
      <c r="AN57" s="281"/>
      <c r="AO57" s="281"/>
    </row>
    <row r="58" spans="1:4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81"/>
      <c r="Q58" s="281"/>
      <c r="R58" s="281"/>
      <c r="S58" s="281"/>
      <c r="T58" s="281"/>
      <c r="U58" s="281" t="s">
        <v>343</v>
      </c>
      <c r="V58" s="281" t="s">
        <v>344</v>
      </c>
      <c r="W58" s="281"/>
      <c r="X58" s="281"/>
      <c r="Y58" s="281"/>
      <c r="Z58" s="281"/>
      <c r="AA58" s="281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281"/>
      <c r="AM58" s="281"/>
      <c r="AN58" s="281"/>
      <c r="AO58" s="281"/>
    </row>
    <row r="59" spans="1:4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81"/>
      <c r="Q59" s="281"/>
      <c r="R59" s="281"/>
      <c r="S59" s="281"/>
      <c r="T59" s="281"/>
      <c r="U59" s="281" t="s">
        <v>345</v>
      </c>
      <c r="V59" s="281" t="s">
        <v>346</v>
      </c>
      <c r="W59" s="281"/>
      <c r="X59" s="281"/>
      <c r="Y59" s="281"/>
      <c r="Z59" s="281"/>
      <c r="AA59" s="281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281"/>
      <c r="AM59" s="281"/>
      <c r="AN59" s="281"/>
      <c r="AO59" s="281"/>
    </row>
    <row r="60" spans="1:4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81"/>
      <c r="Q60" s="281"/>
      <c r="R60" s="281"/>
      <c r="S60" s="281"/>
      <c r="T60" s="281"/>
      <c r="U60" s="281" t="s">
        <v>347</v>
      </c>
      <c r="V60" s="281" t="s">
        <v>348</v>
      </c>
      <c r="W60" s="281"/>
      <c r="X60" s="281"/>
      <c r="Y60" s="281"/>
      <c r="Z60" s="281"/>
      <c r="AA60" s="281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281"/>
      <c r="AM60" s="281"/>
      <c r="AN60" s="281"/>
      <c r="AO60" s="281"/>
    </row>
    <row r="61" spans="1:4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81"/>
      <c r="Q61" s="281"/>
      <c r="R61" s="281"/>
      <c r="S61" s="281"/>
      <c r="T61" s="281"/>
      <c r="U61" s="281" t="s">
        <v>349</v>
      </c>
      <c r="V61" s="281" t="s">
        <v>350</v>
      </c>
      <c r="W61" s="281"/>
      <c r="X61" s="281"/>
      <c r="Y61" s="281"/>
      <c r="Z61" s="281"/>
      <c r="AA61" s="281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281"/>
      <c r="AM61" s="281"/>
      <c r="AN61" s="281"/>
      <c r="AO61" s="281"/>
    </row>
    <row r="62" spans="1:4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81"/>
      <c r="Q62" s="281"/>
      <c r="R62" s="281"/>
      <c r="S62" s="281"/>
      <c r="T62" s="281"/>
      <c r="U62" s="281" t="s">
        <v>351</v>
      </c>
      <c r="V62" s="281" t="s">
        <v>352</v>
      </c>
      <c r="W62" s="281"/>
      <c r="X62" s="281"/>
      <c r="Y62" s="281"/>
      <c r="Z62" s="281"/>
      <c r="AA62" s="281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281"/>
      <c r="AM62" s="281"/>
      <c r="AN62" s="281"/>
      <c r="AO62" s="281"/>
    </row>
    <row r="63" spans="1:4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81"/>
      <c r="Q63" s="281"/>
      <c r="R63" s="281"/>
      <c r="S63" s="281"/>
      <c r="T63" s="281"/>
      <c r="U63" s="281" t="s">
        <v>353</v>
      </c>
      <c r="V63" s="281" t="s">
        <v>354</v>
      </c>
      <c r="W63" s="281"/>
      <c r="X63" s="281"/>
      <c r="Y63" s="281"/>
      <c r="Z63" s="281"/>
      <c r="AA63" s="281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281"/>
      <c r="AM63" s="281"/>
      <c r="AN63" s="281"/>
      <c r="AO63" s="281"/>
    </row>
    <row r="64" spans="1:4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81"/>
      <c r="Q64" s="281"/>
      <c r="R64" s="281"/>
      <c r="S64" s="281"/>
      <c r="T64" s="281"/>
      <c r="U64" s="281" t="s">
        <v>355</v>
      </c>
      <c r="V64" s="281" t="s">
        <v>356</v>
      </c>
      <c r="W64" s="281"/>
      <c r="X64" s="281"/>
      <c r="Y64" s="281"/>
      <c r="Z64" s="281"/>
      <c r="AA64" s="281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281"/>
      <c r="AM64" s="281"/>
      <c r="AN64" s="281"/>
      <c r="AO64" s="281"/>
    </row>
    <row r="65" spans="1:4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1"/>
      <c r="Q65" s="281"/>
      <c r="R65" s="281"/>
      <c r="S65" s="281"/>
      <c r="T65" s="281"/>
      <c r="U65" s="281" t="s">
        <v>357</v>
      </c>
      <c r="V65" s="281" t="s">
        <v>358</v>
      </c>
      <c r="W65" s="281"/>
      <c r="X65" s="281"/>
      <c r="Y65" s="281"/>
      <c r="Z65" s="281"/>
      <c r="AA65" s="281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281"/>
      <c r="AM65" s="281"/>
      <c r="AN65" s="281"/>
      <c r="AO65" s="281"/>
    </row>
    <row r="66" spans="1:4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81"/>
      <c r="Q66" s="281"/>
      <c r="R66" s="281"/>
      <c r="S66" s="281"/>
      <c r="T66" s="281"/>
      <c r="U66" s="281" t="s">
        <v>359</v>
      </c>
      <c r="V66" s="281" t="s">
        <v>360</v>
      </c>
      <c r="W66" s="281"/>
      <c r="X66" s="281"/>
      <c r="Y66" s="281"/>
      <c r="Z66" s="281"/>
      <c r="AA66" s="281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281"/>
      <c r="AM66" s="281"/>
      <c r="AN66" s="281"/>
      <c r="AO66" s="281"/>
    </row>
    <row r="67" spans="1:4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81"/>
      <c r="Q67" s="281"/>
      <c r="R67" s="281"/>
      <c r="S67" s="281"/>
      <c r="T67" s="281"/>
      <c r="U67" s="281" t="s">
        <v>361</v>
      </c>
      <c r="V67" s="281" t="s">
        <v>362</v>
      </c>
      <c r="W67" s="281"/>
      <c r="X67" s="281"/>
      <c r="Y67" s="281"/>
      <c r="Z67" s="281"/>
      <c r="AA67" s="281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281"/>
      <c r="AM67" s="281"/>
      <c r="AN67" s="281"/>
      <c r="AO67" s="281"/>
    </row>
    <row r="68" spans="1:4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81"/>
      <c r="Q68" s="281"/>
      <c r="R68" s="281"/>
      <c r="S68" s="281"/>
      <c r="T68" s="281"/>
      <c r="U68" s="281" t="s">
        <v>363</v>
      </c>
      <c r="V68" s="281" t="s">
        <v>364</v>
      </c>
      <c r="W68" s="281"/>
      <c r="X68" s="281"/>
      <c r="Y68" s="281"/>
      <c r="Z68" s="281"/>
      <c r="AA68" s="281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281"/>
      <c r="AM68" s="281"/>
      <c r="AN68" s="281"/>
      <c r="AO68" s="281"/>
    </row>
    <row r="69" spans="1:4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81"/>
      <c r="Q69" s="281"/>
      <c r="R69" s="281"/>
      <c r="S69" s="281"/>
      <c r="T69" s="281"/>
      <c r="U69" s="281" t="s">
        <v>365</v>
      </c>
      <c r="V69" s="281" t="s">
        <v>366</v>
      </c>
      <c r="W69" s="281"/>
      <c r="X69" s="281"/>
      <c r="Y69" s="281"/>
      <c r="Z69" s="281"/>
      <c r="AA69" s="281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281"/>
      <c r="AM69" s="281"/>
      <c r="AN69" s="281"/>
      <c r="AO69" s="281"/>
    </row>
    <row r="70" spans="1:4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81"/>
      <c r="Q70" s="281"/>
      <c r="R70" s="281"/>
      <c r="S70" s="281"/>
      <c r="T70" s="281"/>
      <c r="U70" s="281" t="s">
        <v>367</v>
      </c>
      <c r="V70" s="281" t="s">
        <v>368</v>
      </c>
      <c r="W70" s="281"/>
      <c r="X70" s="281"/>
      <c r="Y70" s="281"/>
      <c r="Z70" s="281"/>
      <c r="AA70" s="281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281"/>
      <c r="AM70" s="281"/>
      <c r="AN70" s="281"/>
      <c r="AO70" s="281"/>
    </row>
    <row r="71" spans="1:4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81"/>
      <c r="Q71" s="281"/>
      <c r="R71" s="281"/>
      <c r="S71" s="281"/>
      <c r="T71" s="281"/>
      <c r="U71" s="281" t="s">
        <v>369</v>
      </c>
      <c r="V71" s="281" t="s">
        <v>370</v>
      </c>
      <c r="W71" s="281"/>
      <c r="X71" s="281"/>
      <c r="Y71" s="281"/>
      <c r="Z71" s="281"/>
      <c r="AA71" s="281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281"/>
      <c r="AM71" s="281"/>
      <c r="AN71" s="281"/>
      <c r="AO71" s="281"/>
    </row>
    <row r="72" spans="1:4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81"/>
      <c r="Q72" s="281"/>
      <c r="R72" s="281"/>
      <c r="S72" s="281"/>
      <c r="T72" s="281"/>
      <c r="U72" s="281" t="s">
        <v>371</v>
      </c>
      <c r="V72" s="281" t="s">
        <v>372</v>
      </c>
      <c r="W72" s="281"/>
      <c r="X72" s="281"/>
      <c r="Y72" s="281"/>
      <c r="Z72" s="281"/>
      <c r="AA72" s="281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281"/>
      <c r="AM72" s="281"/>
      <c r="AN72" s="281"/>
      <c r="AO72" s="281"/>
    </row>
    <row r="73" spans="1:4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81"/>
      <c r="Q73" s="281"/>
      <c r="R73" s="281"/>
      <c r="S73" s="281"/>
      <c r="T73" s="281"/>
      <c r="U73" s="281" t="s">
        <v>373</v>
      </c>
      <c r="V73" s="281" t="s">
        <v>374</v>
      </c>
      <c r="W73" s="281"/>
      <c r="X73" s="281"/>
      <c r="Y73" s="281"/>
      <c r="Z73" s="281"/>
      <c r="AA73" s="281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281"/>
      <c r="AM73" s="281"/>
      <c r="AN73" s="281"/>
      <c r="AO73" s="281"/>
    </row>
    <row r="74" spans="1:4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81"/>
      <c r="Q74" s="281"/>
      <c r="R74" s="281"/>
      <c r="S74" s="281"/>
      <c r="T74" s="281"/>
      <c r="U74" s="281" t="s">
        <v>375</v>
      </c>
      <c r="V74" s="281" t="s">
        <v>376</v>
      </c>
      <c r="W74" s="281"/>
      <c r="X74" s="281"/>
      <c r="Y74" s="281"/>
      <c r="Z74" s="281"/>
      <c r="AA74" s="281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281"/>
      <c r="AM74" s="281"/>
      <c r="AN74" s="281"/>
      <c r="AO74" s="281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81"/>
      <c r="Q75" s="281"/>
      <c r="R75" s="281"/>
      <c r="S75" s="281"/>
      <c r="T75" s="281"/>
      <c r="U75" s="281" t="s">
        <v>377</v>
      </c>
      <c r="V75" s="281" t="s">
        <v>378</v>
      </c>
      <c r="W75" s="281"/>
      <c r="X75" s="281"/>
      <c r="Y75" s="281"/>
      <c r="Z75" s="281"/>
      <c r="AA75" s="281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281"/>
      <c r="AM75" s="281"/>
      <c r="AN75" s="281"/>
      <c r="AO75" s="281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81"/>
      <c r="Q76" s="281"/>
      <c r="R76" s="281"/>
      <c r="S76" s="281"/>
      <c r="T76" s="281"/>
      <c r="U76" s="281" t="s">
        <v>379</v>
      </c>
      <c r="V76" s="281" t="s">
        <v>380</v>
      </c>
      <c r="W76" s="281"/>
      <c r="X76" s="281"/>
      <c r="Y76" s="281"/>
      <c r="Z76" s="281"/>
      <c r="AA76" s="281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281"/>
      <c r="AM76" s="281"/>
      <c r="AN76" s="281"/>
      <c r="AO76" s="281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81"/>
      <c r="Q77" s="281"/>
      <c r="R77" s="281"/>
      <c r="S77" s="281"/>
      <c r="T77" s="281"/>
      <c r="U77" s="281" t="s">
        <v>381</v>
      </c>
      <c r="V77" s="281" t="s">
        <v>382</v>
      </c>
      <c r="W77" s="281"/>
      <c r="X77" s="281"/>
      <c r="Y77" s="281"/>
      <c r="Z77" s="281"/>
      <c r="AA77" s="281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281"/>
      <c r="AM77" s="281"/>
      <c r="AN77" s="281"/>
      <c r="AO77" s="281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81"/>
      <c r="Q78" s="281"/>
      <c r="R78" s="281"/>
      <c r="S78" s="281"/>
      <c r="T78" s="281"/>
      <c r="U78" s="281" t="s">
        <v>383</v>
      </c>
      <c r="V78" s="281" t="s">
        <v>384</v>
      </c>
      <c r="W78" s="281"/>
      <c r="X78" s="281"/>
      <c r="Y78" s="281"/>
      <c r="Z78" s="281"/>
      <c r="AA78" s="281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281"/>
      <c r="AM78" s="281"/>
      <c r="AN78" s="281"/>
      <c r="AO78" s="281"/>
    </row>
    <row r="79" spans="16:41" ht="12.75">
      <c r="P79" s="281"/>
      <c r="Q79" s="281"/>
      <c r="R79" s="281"/>
      <c r="S79" s="281"/>
      <c r="T79" s="281"/>
      <c r="U79" s="281" t="s">
        <v>385</v>
      </c>
      <c r="V79" s="281" t="s">
        <v>386</v>
      </c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</row>
    <row r="80" spans="16:41" ht="12.75">
      <c r="P80" s="281"/>
      <c r="Q80" s="281"/>
      <c r="R80" s="281"/>
      <c r="S80" s="281"/>
      <c r="T80" s="281"/>
      <c r="U80" s="281" t="s">
        <v>387</v>
      </c>
      <c r="V80" s="281" t="s">
        <v>388</v>
      </c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</row>
    <row r="81" spans="16:41" ht="12.75">
      <c r="P81" s="281"/>
      <c r="Q81" s="281"/>
      <c r="R81" s="281"/>
      <c r="S81" s="281"/>
      <c r="T81" s="281"/>
      <c r="U81" s="281" t="s">
        <v>389</v>
      </c>
      <c r="V81" s="281" t="s">
        <v>390</v>
      </c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</row>
    <row r="82" spans="16:41" ht="12.75">
      <c r="P82" s="281"/>
      <c r="Q82" s="281"/>
      <c r="R82" s="281"/>
      <c r="S82" s="281"/>
      <c r="T82" s="281"/>
      <c r="U82" s="281" t="s">
        <v>391</v>
      </c>
      <c r="V82" s="281" t="s">
        <v>392</v>
      </c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</row>
    <row r="83" spans="16:41" ht="12.75">
      <c r="P83" s="281"/>
      <c r="Q83" s="281"/>
      <c r="R83" s="281"/>
      <c r="S83" s="281"/>
      <c r="T83" s="281"/>
      <c r="U83" s="281" t="s">
        <v>393</v>
      </c>
      <c r="V83" s="281" t="s">
        <v>394</v>
      </c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</row>
    <row r="84" spans="16:41" ht="12.75">
      <c r="P84" s="281"/>
      <c r="Q84" s="281"/>
      <c r="R84" s="281"/>
      <c r="S84" s="281"/>
      <c r="T84" s="281"/>
      <c r="U84" s="281" t="s">
        <v>395</v>
      </c>
      <c r="V84" s="281" t="s">
        <v>396</v>
      </c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</row>
    <row r="85" spans="16:41" ht="12.75">
      <c r="P85" s="281"/>
      <c r="Q85" s="281"/>
      <c r="R85" s="281"/>
      <c r="S85" s="281"/>
      <c r="T85" s="281"/>
      <c r="U85" s="281" t="s">
        <v>397</v>
      </c>
      <c r="V85" s="281" t="s">
        <v>398</v>
      </c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</row>
    <row r="86" spans="16:41" ht="12.75">
      <c r="P86" s="281"/>
      <c r="Q86" s="281"/>
      <c r="R86" s="281"/>
      <c r="S86" s="281"/>
      <c r="T86" s="281"/>
      <c r="U86" s="281" t="s">
        <v>399</v>
      </c>
      <c r="V86" s="281" t="s">
        <v>400</v>
      </c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</row>
    <row r="87" spans="16:41" ht="12.75">
      <c r="P87" s="281"/>
      <c r="Q87" s="281"/>
      <c r="R87" s="281"/>
      <c r="S87" s="281"/>
      <c r="T87" s="281"/>
      <c r="U87" s="281" t="s">
        <v>401</v>
      </c>
      <c r="V87" s="281" t="s">
        <v>402</v>
      </c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</row>
    <row r="88" spans="16:41" ht="12.75">
      <c r="P88" s="281"/>
      <c r="Q88" s="281"/>
      <c r="R88" s="281"/>
      <c r="S88" s="281"/>
      <c r="T88" s="281"/>
      <c r="U88" s="281" t="s">
        <v>403</v>
      </c>
      <c r="V88" s="281" t="s">
        <v>404</v>
      </c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6:41" ht="12.75">
      <c r="P89" s="281"/>
      <c r="Q89" s="281"/>
      <c r="R89" s="281"/>
      <c r="S89" s="281"/>
      <c r="T89" s="281"/>
      <c r="U89" s="281" t="s">
        <v>405</v>
      </c>
      <c r="V89" s="281" t="s">
        <v>406</v>
      </c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</row>
    <row r="90" spans="16:41" ht="12.75">
      <c r="P90" s="281"/>
      <c r="Q90" s="281"/>
      <c r="R90" s="281"/>
      <c r="S90" s="281"/>
      <c r="T90" s="281"/>
      <c r="U90" s="281" t="s">
        <v>407</v>
      </c>
      <c r="V90" s="281" t="s">
        <v>408</v>
      </c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</row>
    <row r="91" spans="16:41" ht="12.75">
      <c r="P91" s="281"/>
      <c r="Q91" s="281"/>
      <c r="R91" s="281"/>
      <c r="S91" s="281"/>
      <c r="T91" s="281"/>
      <c r="U91" s="281" t="s">
        <v>409</v>
      </c>
      <c r="V91" s="281" t="s">
        <v>410</v>
      </c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</row>
    <row r="92" spans="16:41" ht="12.75">
      <c r="P92" s="281"/>
      <c r="Q92" s="281"/>
      <c r="R92" s="281"/>
      <c r="S92" s="281"/>
      <c r="T92" s="281"/>
      <c r="U92" s="281" t="s">
        <v>411</v>
      </c>
      <c r="V92" s="281" t="s">
        <v>412</v>
      </c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</row>
    <row r="93" spans="16:41" ht="12.75">
      <c r="P93" s="281"/>
      <c r="Q93" s="281"/>
      <c r="R93" s="281"/>
      <c r="S93" s="281"/>
      <c r="T93" s="281"/>
      <c r="U93" s="281" t="s">
        <v>413</v>
      </c>
      <c r="V93" s="281" t="s">
        <v>414</v>
      </c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</row>
    <row r="94" spans="16:41" ht="12.75">
      <c r="P94" s="281"/>
      <c r="Q94" s="281"/>
      <c r="R94" s="281"/>
      <c r="S94" s="281"/>
      <c r="T94" s="281"/>
      <c r="U94" s="281" t="s">
        <v>415</v>
      </c>
      <c r="V94" s="281" t="s">
        <v>416</v>
      </c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</row>
    <row r="95" spans="16:41" ht="12.75">
      <c r="P95" s="281"/>
      <c r="Q95" s="281"/>
      <c r="R95" s="281"/>
      <c r="S95" s="281"/>
      <c r="T95" s="281"/>
      <c r="U95" s="281" t="s">
        <v>417</v>
      </c>
      <c r="V95" s="281" t="s">
        <v>418</v>
      </c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</row>
    <row r="96" spans="16:41" ht="12.75">
      <c r="P96" s="281"/>
      <c r="Q96" s="281"/>
      <c r="R96" s="281"/>
      <c r="S96" s="281"/>
      <c r="T96" s="281"/>
      <c r="U96" s="281" t="s">
        <v>419</v>
      </c>
      <c r="V96" s="281" t="s">
        <v>420</v>
      </c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</row>
    <row r="97" spans="16:41" ht="12.75">
      <c r="P97" s="281"/>
      <c r="Q97" s="281"/>
      <c r="R97" s="281"/>
      <c r="S97" s="281"/>
      <c r="T97" s="281"/>
      <c r="U97" s="281" t="s">
        <v>421</v>
      </c>
      <c r="V97" s="281" t="s">
        <v>422</v>
      </c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</row>
    <row r="98" spans="16:41" ht="12.75">
      <c r="P98" s="281"/>
      <c r="Q98" s="281"/>
      <c r="R98" s="281"/>
      <c r="S98" s="281"/>
      <c r="T98" s="281"/>
      <c r="U98" s="281" t="s">
        <v>423</v>
      </c>
      <c r="V98" s="281" t="s">
        <v>424</v>
      </c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</row>
    <row r="99" spans="16:41" ht="12.75">
      <c r="P99" s="281"/>
      <c r="Q99" s="281"/>
      <c r="R99" s="281"/>
      <c r="S99" s="281"/>
      <c r="T99" s="281"/>
      <c r="U99" s="281" t="s">
        <v>425</v>
      </c>
      <c r="V99" s="281" t="s">
        <v>426</v>
      </c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</row>
    <row r="100" spans="16:41" ht="12.75">
      <c r="P100" s="281"/>
      <c r="Q100" s="281"/>
      <c r="R100" s="281"/>
      <c r="S100" s="281"/>
      <c r="T100" s="281"/>
      <c r="U100" s="281" t="s">
        <v>427</v>
      </c>
      <c r="V100" s="281" t="s">
        <v>428</v>
      </c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</row>
    <row r="101" spans="16:41" ht="12.75">
      <c r="P101" s="281"/>
      <c r="Q101" s="281"/>
      <c r="R101" s="281"/>
      <c r="S101" s="281"/>
      <c r="T101" s="281"/>
      <c r="U101" s="281" t="s">
        <v>429</v>
      </c>
      <c r="V101" s="281" t="s">
        <v>430</v>
      </c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</row>
    <row r="102" spans="16:41" ht="12.75">
      <c r="P102" s="281"/>
      <c r="Q102" s="281"/>
      <c r="R102" s="281"/>
      <c r="S102" s="281"/>
      <c r="T102" s="281"/>
      <c r="U102" s="281" t="s">
        <v>431</v>
      </c>
      <c r="V102" s="281" t="s">
        <v>432</v>
      </c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</row>
    <row r="103" spans="16:41" ht="12.75">
      <c r="P103" s="281"/>
      <c r="Q103" s="281"/>
      <c r="R103" s="281"/>
      <c r="S103" s="281"/>
      <c r="T103" s="281"/>
      <c r="U103" s="281" t="s">
        <v>433</v>
      </c>
      <c r="V103" s="281" t="s">
        <v>434</v>
      </c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</row>
    <row r="104" spans="16:41" ht="12.75">
      <c r="P104" s="281"/>
      <c r="Q104" s="281"/>
      <c r="R104" s="281"/>
      <c r="S104" s="281"/>
      <c r="T104" s="281"/>
      <c r="U104" s="281" t="s">
        <v>435</v>
      </c>
      <c r="V104" s="281" t="s">
        <v>436</v>
      </c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</row>
    <row r="105" spans="16:41" ht="12.75">
      <c r="P105" s="281"/>
      <c r="Q105" s="281"/>
      <c r="R105" s="281"/>
      <c r="S105" s="281"/>
      <c r="T105" s="281"/>
      <c r="U105" s="281" t="s">
        <v>437</v>
      </c>
      <c r="V105" s="281" t="s">
        <v>438</v>
      </c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</row>
    <row r="106" spans="16:41" ht="12.75">
      <c r="P106" s="281"/>
      <c r="Q106" s="281"/>
      <c r="R106" s="281"/>
      <c r="S106" s="281"/>
      <c r="T106" s="281"/>
      <c r="U106" s="281" t="s">
        <v>439</v>
      </c>
      <c r="V106" s="281" t="s">
        <v>440</v>
      </c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</row>
    <row r="107" spans="16:41" ht="12.75">
      <c r="P107" s="281"/>
      <c r="Q107" s="281"/>
      <c r="R107" s="281"/>
      <c r="S107" s="281"/>
      <c r="T107" s="281"/>
      <c r="U107" s="281" t="s">
        <v>441</v>
      </c>
      <c r="V107" s="281" t="s">
        <v>442</v>
      </c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</row>
    <row r="108" spans="16:41" ht="12.75">
      <c r="P108" s="281"/>
      <c r="Q108" s="281"/>
      <c r="R108" s="281"/>
      <c r="S108" s="281"/>
      <c r="T108" s="281"/>
      <c r="U108" s="281" t="s">
        <v>443</v>
      </c>
      <c r="V108" s="281" t="s">
        <v>444</v>
      </c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</row>
    <row r="109" spans="16:41" ht="12.75">
      <c r="P109" s="281"/>
      <c r="Q109" s="281"/>
      <c r="R109" s="281"/>
      <c r="S109" s="281"/>
      <c r="T109" s="281"/>
      <c r="U109" s="281" t="s">
        <v>445</v>
      </c>
      <c r="V109" s="281" t="s">
        <v>446</v>
      </c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</row>
    <row r="110" spans="16:41" ht="12.75">
      <c r="P110" s="281"/>
      <c r="Q110" s="281"/>
      <c r="R110" s="281"/>
      <c r="S110" s="281"/>
      <c r="T110" s="281"/>
      <c r="U110" s="281" t="s">
        <v>447</v>
      </c>
      <c r="V110" s="281" t="s">
        <v>448</v>
      </c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</row>
    <row r="111" spans="16:41" ht="12.75">
      <c r="P111" s="281"/>
      <c r="Q111" s="281"/>
      <c r="R111" s="281"/>
      <c r="S111" s="281"/>
      <c r="T111" s="281"/>
      <c r="U111" s="281" t="s">
        <v>449</v>
      </c>
      <c r="V111" s="281" t="s">
        <v>450</v>
      </c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</row>
    <row r="112" spans="16:41" ht="12.75">
      <c r="P112" s="281"/>
      <c r="Q112" s="281"/>
      <c r="R112" s="281"/>
      <c r="S112" s="281"/>
      <c r="T112" s="281"/>
      <c r="U112" s="281" t="s">
        <v>451</v>
      </c>
      <c r="V112" s="281" t="s">
        <v>452</v>
      </c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</row>
    <row r="113" spans="16:41" ht="12.75">
      <c r="P113" s="281"/>
      <c r="Q113" s="281"/>
      <c r="R113" s="281"/>
      <c r="S113" s="281"/>
      <c r="T113" s="281"/>
      <c r="U113" s="281" t="s">
        <v>453</v>
      </c>
      <c r="V113" s="281" t="s">
        <v>454</v>
      </c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</row>
    <row r="114" spans="16:41" ht="12.75">
      <c r="P114" s="281"/>
      <c r="Q114" s="281"/>
      <c r="R114" s="281"/>
      <c r="S114" s="281"/>
      <c r="T114" s="281"/>
      <c r="U114" s="281" t="s">
        <v>455</v>
      </c>
      <c r="V114" s="281" t="s">
        <v>456</v>
      </c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</row>
    <row r="115" spans="16:41" ht="12.75">
      <c r="P115" s="281"/>
      <c r="Q115" s="281"/>
      <c r="R115" s="281"/>
      <c r="S115" s="281"/>
      <c r="T115" s="281"/>
      <c r="U115" s="281" t="s">
        <v>457</v>
      </c>
      <c r="V115" s="281" t="s">
        <v>458</v>
      </c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</row>
    <row r="116" spans="16:41" ht="12.75">
      <c r="P116" s="281"/>
      <c r="Q116" s="281"/>
      <c r="R116" s="281"/>
      <c r="S116" s="281"/>
      <c r="T116" s="281"/>
      <c r="U116" s="281" t="s">
        <v>459</v>
      </c>
      <c r="V116" s="281" t="s">
        <v>460</v>
      </c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</row>
    <row r="117" spans="16:41" ht="12.75">
      <c r="P117" s="281"/>
      <c r="Q117" s="281"/>
      <c r="R117" s="281"/>
      <c r="S117" s="281"/>
      <c r="T117" s="281"/>
      <c r="U117" s="281" t="s">
        <v>461</v>
      </c>
      <c r="V117" s="281" t="s">
        <v>462</v>
      </c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6:41" ht="12.75">
      <c r="P118" s="281"/>
      <c r="Q118" s="281"/>
      <c r="R118" s="281"/>
      <c r="S118" s="281"/>
      <c r="T118" s="281"/>
      <c r="U118" s="281" t="s">
        <v>463</v>
      </c>
      <c r="V118" s="281" t="s">
        <v>464</v>
      </c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</row>
    <row r="119" spans="16:41" ht="12.75">
      <c r="P119" s="281"/>
      <c r="Q119" s="281"/>
      <c r="R119" s="281"/>
      <c r="S119" s="281"/>
      <c r="T119" s="281"/>
      <c r="U119" s="281" t="s">
        <v>465</v>
      </c>
      <c r="V119" s="281" t="s">
        <v>466</v>
      </c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6:41" ht="12.75">
      <c r="P120" s="281"/>
      <c r="Q120" s="281"/>
      <c r="R120" s="281"/>
      <c r="S120" s="281"/>
      <c r="T120" s="281"/>
      <c r="U120" s="281" t="s">
        <v>467</v>
      </c>
      <c r="V120" s="281" t="s">
        <v>468</v>
      </c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</row>
    <row r="121" spans="16:41" ht="12.75">
      <c r="P121" s="281"/>
      <c r="Q121" s="281"/>
      <c r="R121" s="281"/>
      <c r="S121" s="281"/>
      <c r="T121" s="281"/>
      <c r="U121" s="281" t="s">
        <v>469</v>
      </c>
      <c r="V121" s="281" t="s">
        <v>470</v>
      </c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</row>
    <row r="122" spans="16:41" ht="12.75">
      <c r="P122" s="281"/>
      <c r="Q122" s="281"/>
      <c r="R122" s="281"/>
      <c r="S122" s="281"/>
      <c r="T122" s="281"/>
      <c r="U122" s="281" t="s">
        <v>471</v>
      </c>
      <c r="V122" s="281" t="s">
        <v>472</v>
      </c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</row>
    <row r="123" spans="16:41" ht="12.75">
      <c r="P123" s="281"/>
      <c r="Q123" s="281"/>
      <c r="R123" s="281"/>
      <c r="S123" s="281"/>
      <c r="T123" s="281"/>
      <c r="U123" s="281" t="s">
        <v>473</v>
      </c>
      <c r="V123" s="281" t="s">
        <v>474</v>
      </c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</row>
    <row r="124" spans="16:41" ht="12.75">
      <c r="P124" s="281"/>
      <c r="Q124" s="281"/>
      <c r="R124" s="281"/>
      <c r="S124" s="281"/>
      <c r="T124" s="281"/>
      <c r="U124" s="281" t="s">
        <v>475</v>
      </c>
      <c r="V124" s="281" t="s">
        <v>476</v>
      </c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</row>
    <row r="125" spans="16:41" ht="12.75">
      <c r="P125" s="281"/>
      <c r="Q125" s="281"/>
      <c r="R125" s="281"/>
      <c r="S125" s="281"/>
      <c r="T125" s="281"/>
      <c r="U125" s="281" t="s">
        <v>477</v>
      </c>
      <c r="V125" s="281" t="s">
        <v>478</v>
      </c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</row>
    <row r="126" spans="16:41" ht="12.75">
      <c r="P126" s="281"/>
      <c r="Q126" s="281"/>
      <c r="R126" s="281"/>
      <c r="S126" s="281"/>
      <c r="T126" s="281"/>
      <c r="U126" s="281" t="s">
        <v>479</v>
      </c>
      <c r="V126" s="281" t="s">
        <v>480</v>
      </c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</row>
    <row r="127" spans="16:41" ht="12.75">
      <c r="P127" s="281"/>
      <c r="Q127" s="281"/>
      <c r="R127" s="281"/>
      <c r="S127" s="281"/>
      <c r="T127" s="281"/>
      <c r="U127" s="281" t="s">
        <v>481</v>
      </c>
      <c r="V127" s="281" t="s">
        <v>482</v>
      </c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</row>
    <row r="128" spans="16:41" ht="12.75">
      <c r="P128" s="281"/>
      <c r="Q128" s="281"/>
      <c r="R128" s="281"/>
      <c r="S128" s="281"/>
      <c r="T128" s="281"/>
      <c r="U128" s="281" t="s">
        <v>483</v>
      </c>
      <c r="V128" s="281" t="s">
        <v>484</v>
      </c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</row>
    <row r="129" spans="16:41" ht="12.75">
      <c r="P129" s="281"/>
      <c r="Q129" s="281"/>
      <c r="R129" s="281"/>
      <c r="S129" s="281"/>
      <c r="T129" s="281"/>
      <c r="U129" s="281" t="s">
        <v>485</v>
      </c>
      <c r="V129" s="281" t="s">
        <v>486</v>
      </c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</row>
    <row r="130" spans="16:41" ht="12.75">
      <c r="P130" s="281"/>
      <c r="Q130" s="281"/>
      <c r="R130" s="281"/>
      <c r="S130" s="281"/>
      <c r="T130" s="281"/>
      <c r="U130" s="281" t="s">
        <v>487</v>
      </c>
      <c r="V130" s="281" t="s">
        <v>488</v>
      </c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</row>
    <row r="131" spans="16:41" ht="12.75">
      <c r="P131" s="281"/>
      <c r="Q131" s="281"/>
      <c r="R131" s="281"/>
      <c r="S131" s="281"/>
      <c r="T131" s="281"/>
      <c r="U131" s="281" t="s">
        <v>489</v>
      </c>
      <c r="V131" s="281" t="s">
        <v>490</v>
      </c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</row>
    <row r="132" spans="16:41" ht="12.75">
      <c r="P132" s="281"/>
      <c r="Q132" s="281"/>
      <c r="R132" s="281"/>
      <c r="S132" s="281"/>
      <c r="T132" s="281"/>
      <c r="U132" s="281" t="s">
        <v>491</v>
      </c>
      <c r="V132" s="281" t="s">
        <v>492</v>
      </c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</row>
    <row r="133" spans="16:41" ht="12.75">
      <c r="P133" s="281"/>
      <c r="Q133" s="281"/>
      <c r="R133" s="281"/>
      <c r="S133" s="281"/>
      <c r="T133" s="281"/>
      <c r="U133" s="281" t="s">
        <v>493</v>
      </c>
      <c r="V133" s="281" t="s">
        <v>494</v>
      </c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</row>
    <row r="134" spans="16:41" ht="12.75">
      <c r="P134" s="281"/>
      <c r="Q134" s="281"/>
      <c r="R134" s="281"/>
      <c r="S134" s="281"/>
      <c r="T134" s="281"/>
      <c r="U134" s="281" t="s">
        <v>495</v>
      </c>
      <c r="V134" s="281" t="s">
        <v>496</v>
      </c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</row>
    <row r="135" spans="16:41" ht="12.75">
      <c r="P135" s="281"/>
      <c r="Q135" s="281"/>
      <c r="R135" s="281"/>
      <c r="S135" s="281"/>
      <c r="T135" s="281"/>
      <c r="U135" s="281" t="s">
        <v>497</v>
      </c>
      <c r="V135" s="281" t="s">
        <v>498</v>
      </c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</row>
    <row r="136" spans="16:41" ht="12.75">
      <c r="P136" s="281"/>
      <c r="Q136" s="281"/>
      <c r="R136" s="281"/>
      <c r="S136" s="281"/>
      <c r="T136" s="281"/>
      <c r="U136" s="281" t="s">
        <v>499</v>
      </c>
      <c r="V136" s="281" t="s">
        <v>500</v>
      </c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</row>
    <row r="137" spans="16:41" ht="12.75">
      <c r="P137" s="281"/>
      <c r="Q137" s="281"/>
      <c r="R137" s="281"/>
      <c r="S137" s="281"/>
      <c r="T137" s="281"/>
      <c r="U137" s="281" t="s">
        <v>501</v>
      </c>
      <c r="V137" s="281" t="s">
        <v>502</v>
      </c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</row>
    <row r="138" spans="16:41" ht="12.75">
      <c r="P138" s="281"/>
      <c r="Q138" s="281"/>
      <c r="R138" s="281"/>
      <c r="S138" s="281"/>
      <c r="T138" s="281"/>
      <c r="U138" s="281" t="s">
        <v>503</v>
      </c>
      <c r="V138" s="281" t="s">
        <v>504</v>
      </c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</row>
    <row r="139" spans="16:41" ht="12.75">
      <c r="P139" s="281"/>
      <c r="Q139" s="281"/>
      <c r="R139" s="281"/>
      <c r="S139" s="281"/>
      <c r="T139" s="281"/>
      <c r="U139" s="281" t="s">
        <v>505</v>
      </c>
      <c r="V139" s="281" t="s">
        <v>506</v>
      </c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</row>
    <row r="140" spans="16:41" ht="12.75">
      <c r="P140" s="281"/>
      <c r="Q140" s="281"/>
      <c r="R140" s="281"/>
      <c r="S140" s="281"/>
      <c r="T140" s="281"/>
      <c r="U140" s="281" t="s">
        <v>507</v>
      </c>
      <c r="V140" s="281" t="s">
        <v>508</v>
      </c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</row>
    <row r="141" spans="16:41" ht="12.75">
      <c r="P141" s="281"/>
      <c r="Q141" s="281"/>
      <c r="R141" s="281"/>
      <c r="S141" s="281"/>
      <c r="T141" s="281"/>
      <c r="U141" s="281" t="s">
        <v>509</v>
      </c>
      <c r="V141" s="281" t="s">
        <v>510</v>
      </c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</row>
    <row r="142" spans="16:41" ht="12.75">
      <c r="P142" s="281"/>
      <c r="Q142" s="281"/>
      <c r="R142" s="281"/>
      <c r="S142" s="281"/>
      <c r="T142" s="281"/>
      <c r="U142" s="281" t="s">
        <v>511</v>
      </c>
      <c r="V142" s="281" t="s">
        <v>512</v>
      </c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</row>
    <row r="143" spans="16:41" ht="12.75">
      <c r="P143" s="281"/>
      <c r="Q143" s="281"/>
      <c r="R143" s="281"/>
      <c r="S143" s="281"/>
      <c r="T143" s="281"/>
      <c r="U143" s="281" t="s">
        <v>513</v>
      </c>
      <c r="V143" s="281" t="s">
        <v>514</v>
      </c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</row>
    <row r="144" spans="16:41" ht="12.75">
      <c r="P144" s="281"/>
      <c r="Q144" s="281"/>
      <c r="R144" s="281"/>
      <c r="S144" s="281"/>
      <c r="T144" s="281"/>
      <c r="U144" s="281" t="s">
        <v>515</v>
      </c>
      <c r="V144" s="281" t="s">
        <v>516</v>
      </c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</row>
    <row r="145" spans="16:41" ht="12.75">
      <c r="P145" s="281"/>
      <c r="Q145" s="281"/>
      <c r="R145" s="281"/>
      <c r="S145" s="281"/>
      <c r="T145" s="281"/>
      <c r="U145" s="281" t="s">
        <v>517</v>
      </c>
      <c r="V145" s="281" t="s">
        <v>518</v>
      </c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</row>
    <row r="146" spans="16:41" ht="12.75">
      <c r="P146" s="281"/>
      <c r="Q146" s="281"/>
      <c r="R146" s="281"/>
      <c r="S146" s="281"/>
      <c r="T146" s="281"/>
      <c r="U146" s="281" t="s">
        <v>519</v>
      </c>
      <c r="V146" s="281" t="s">
        <v>520</v>
      </c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</row>
    <row r="147" spans="16:41" ht="12.75">
      <c r="P147" s="281"/>
      <c r="Q147" s="281"/>
      <c r="R147" s="281"/>
      <c r="S147" s="281"/>
      <c r="T147" s="281"/>
      <c r="U147" s="281" t="s">
        <v>521</v>
      </c>
      <c r="V147" s="281" t="s">
        <v>522</v>
      </c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</row>
    <row r="148" spans="16:41" ht="12.75">
      <c r="P148" s="281"/>
      <c r="Q148" s="281"/>
      <c r="R148" s="281"/>
      <c r="S148" s="281"/>
      <c r="T148" s="281"/>
      <c r="U148" s="281" t="s">
        <v>523</v>
      </c>
      <c r="V148" s="281" t="s">
        <v>524</v>
      </c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</row>
    <row r="149" spans="16:41" ht="12.75">
      <c r="P149" s="281"/>
      <c r="Q149" s="281"/>
      <c r="R149" s="281"/>
      <c r="S149" s="281"/>
      <c r="T149" s="281"/>
      <c r="U149" s="281" t="s">
        <v>525</v>
      </c>
      <c r="V149" s="281" t="s">
        <v>526</v>
      </c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</row>
    <row r="150" spans="16:41" ht="12.75">
      <c r="P150" s="281"/>
      <c r="Q150" s="281"/>
      <c r="R150" s="281"/>
      <c r="S150" s="281"/>
      <c r="T150" s="281"/>
      <c r="U150" s="281" t="s">
        <v>527</v>
      </c>
      <c r="V150" s="281" t="s">
        <v>528</v>
      </c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</row>
    <row r="151" spans="16:41" ht="12.75">
      <c r="P151" s="281"/>
      <c r="Q151" s="281"/>
      <c r="R151" s="281"/>
      <c r="S151" s="281"/>
      <c r="T151" s="281"/>
      <c r="U151" s="281" t="s">
        <v>529</v>
      </c>
      <c r="V151" s="281" t="s">
        <v>530</v>
      </c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</row>
    <row r="152" spans="16:41" ht="12.75">
      <c r="P152" s="281"/>
      <c r="Q152" s="281"/>
      <c r="R152" s="281"/>
      <c r="S152" s="281"/>
      <c r="T152" s="281"/>
      <c r="U152" s="281" t="s">
        <v>531</v>
      </c>
      <c r="V152" s="281" t="s">
        <v>532</v>
      </c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</row>
    <row r="153" spans="16:41" ht="12.75">
      <c r="P153" s="281"/>
      <c r="Q153" s="281"/>
      <c r="R153" s="281"/>
      <c r="S153" s="281"/>
      <c r="T153" s="281"/>
      <c r="U153" s="281" t="s">
        <v>533</v>
      </c>
      <c r="V153" s="281" t="s">
        <v>534</v>
      </c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</row>
    <row r="154" spans="16:41" ht="12.75">
      <c r="P154" s="281"/>
      <c r="Q154" s="281"/>
      <c r="R154" s="281"/>
      <c r="S154" s="281"/>
      <c r="T154" s="281"/>
      <c r="U154" s="281" t="s">
        <v>535</v>
      </c>
      <c r="V154" s="281" t="s">
        <v>536</v>
      </c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</row>
    <row r="155" spans="16:41" ht="12.75">
      <c r="P155" s="281"/>
      <c r="Q155" s="281"/>
      <c r="R155" s="281"/>
      <c r="S155" s="281"/>
      <c r="T155" s="281"/>
      <c r="U155" s="281" t="s">
        <v>537</v>
      </c>
      <c r="V155" s="281" t="s">
        <v>538</v>
      </c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</row>
    <row r="156" spans="16:41" ht="12.75">
      <c r="P156" s="281"/>
      <c r="Q156" s="281"/>
      <c r="R156" s="281"/>
      <c r="S156" s="281"/>
      <c r="T156" s="281"/>
      <c r="U156" s="281" t="s">
        <v>539</v>
      </c>
      <c r="V156" s="281" t="s">
        <v>540</v>
      </c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</row>
    <row r="157" spans="16:41" ht="12.75">
      <c r="P157" s="281"/>
      <c r="Q157" s="281"/>
      <c r="R157" s="281"/>
      <c r="S157" s="281"/>
      <c r="T157" s="281"/>
      <c r="U157" s="281" t="s">
        <v>541</v>
      </c>
      <c r="V157" s="281" t="s">
        <v>542</v>
      </c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</row>
    <row r="158" spans="16:41" ht="12.75">
      <c r="P158" s="281"/>
      <c r="Q158" s="281"/>
      <c r="R158" s="281"/>
      <c r="S158" s="281"/>
      <c r="T158" s="281"/>
      <c r="U158" s="281" t="s">
        <v>543</v>
      </c>
      <c r="V158" s="281" t="s">
        <v>544</v>
      </c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</row>
    <row r="159" spans="16:41" ht="12.75">
      <c r="P159" s="281"/>
      <c r="Q159" s="281"/>
      <c r="R159" s="281"/>
      <c r="S159" s="281"/>
      <c r="T159" s="281"/>
      <c r="U159" s="281" t="s">
        <v>545</v>
      </c>
      <c r="V159" s="281" t="s">
        <v>546</v>
      </c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</row>
    <row r="160" spans="16:41" ht="12.75">
      <c r="P160" s="281"/>
      <c r="Q160" s="281"/>
      <c r="R160" s="281"/>
      <c r="S160" s="281"/>
      <c r="T160" s="281"/>
      <c r="U160" s="281" t="s">
        <v>547</v>
      </c>
      <c r="V160" s="281" t="s">
        <v>548</v>
      </c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</row>
    <row r="161" spans="16:41" ht="12.75">
      <c r="P161" s="281"/>
      <c r="Q161" s="281"/>
      <c r="R161" s="281"/>
      <c r="S161" s="281"/>
      <c r="T161" s="281"/>
      <c r="U161" s="281" t="s">
        <v>549</v>
      </c>
      <c r="V161" s="281" t="s">
        <v>550</v>
      </c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</row>
    <row r="162" spans="16:41" ht="12.75">
      <c r="P162" s="281"/>
      <c r="Q162" s="281"/>
      <c r="R162" s="281"/>
      <c r="S162" s="281"/>
      <c r="T162" s="281"/>
      <c r="U162" s="281" t="s">
        <v>551</v>
      </c>
      <c r="V162" s="281" t="s">
        <v>552</v>
      </c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</row>
    <row r="163" spans="16:41" ht="12.75">
      <c r="P163" s="281"/>
      <c r="Q163" s="281"/>
      <c r="R163" s="281"/>
      <c r="S163" s="281"/>
      <c r="T163" s="281"/>
      <c r="U163" s="281" t="s">
        <v>553</v>
      </c>
      <c r="V163" s="281" t="s">
        <v>554</v>
      </c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</row>
    <row r="164" spans="16:41" ht="12.75">
      <c r="P164" s="281"/>
      <c r="Q164" s="281"/>
      <c r="R164" s="281"/>
      <c r="S164" s="281"/>
      <c r="T164" s="281"/>
      <c r="U164" s="281" t="s">
        <v>555</v>
      </c>
      <c r="V164" s="281" t="s">
        <v>556</v>
      </c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</row>
    <row r="165" spans="16:41" ht="12.75">
      <c r="P165" s="281"/>
      <c r="Q165" s="281"/>
      <c r="R165" s="281"/>
      <c r="S165" s="281"/>
      <c r="T165" s="281"/>
      <c r="U165" s="281" t="s">
        <v>557</v>
      </c>
      <c r="V165" s="281" t="s">
        <v>558</v>
      </c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</row>
    <row r="166" spans="16:41" ht="12.75">
      <c r="P166" s="281"/>
      <c r="Q166" s="281"/>
      <c r="R166" s="281"/>
      <c r="S166" s="281"/>
      <c r="T166" s="281"/>
      <c r="U166" s="281" t="s">
        <v>559</v>
      </c>
      <c r="V166" s="281" t="s">
        <v>560</v>
      </c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</row>
    <row r="167" spans="16:41" ht="12.75">
      <c r="P167" s="281"/>
      <c r="Q167" s="281"/>
      <c r="R167" s="281"/>
      <c r="S167" s="281"/>
      <c r="T167" s="281"/>
      <c r="U167" s="281" t="s">
        <v>561</v>
      </c>
      <c r="V167" s="281" t="s">
        <v>562</v>
      </c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</row>
    <row r="168" spans="16:41" ht="12.75">
      <c r="P168" s="281"/>
      <c r="Q168" s="281"/>
      <c r="R168" s="281"/>
      <c r="S168" s="281"/>
      <c r="T168" s="281"/>
      <c r="U168" s="281" t="s">
        <v>563</v>
      </c>
      <c r="V168" s="281" t="s">
        <v>564</v>
      </c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</row>
    <row r="169" spans="16:41" ht="12.75">
      <c r="P169" s="281"/>
      <c r="Q169" s="281"/>
      <c r="R169" s="281"/>
      <c r="S169" s="281"/>
      <c r="T169" s="281"/>
      <c r="U169" s="281" t="s">
        <v>565</v>
      </c>
      <c r="V169" s="281" t="s">
        <v>566</v>
      </c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</row>
    <row r="170" spans="16:41" ht="12.75">
      <c r="P170" s="281"/>
      <c r="Q170" s="281"/>
      <c r="R170" s="281"/>
      <c r="S170" s="281"/>
      <c r="T170" s="281"/>
      <c r="U170" s="281" t="s">
        <v>567</v>
      </c>
      <c r="V170" s="281" t="s">
        <v>568</v>
      </c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</row>
    <row r="171" spans="16:41" ht="12.75">
      <c r="P171" s="281"/>
      <c r="Q171" s="281"/>
      <c r="R171" s="281"/>
      <c r="S171" s="281"/>
      <c r="T171" s="281"/>
      <c r="U171" s="281" t="s">
        <v>569</v>
      </c>
      <c r="V171" s="281" t="s">
        <v>570</v>
      </c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</row>
    <row r="172" spans="16:41" ht="12.75">
      <c r="P172" s="281"/>
      <c r="Q172" s="281"/>
      <c r="R172" s="281"/>
      <c r="S172" s="281"/>
      <c r="T172" s="281"/>
      <c r="U172" s="281" t="s">
        <v>571</v>
      </c>
      <c r="V172" s="281" t="s">
        <v>572</v>
      </c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</row>
    <row r="173" spans="16:41" ht="12.75">
      <c r="P173" s="281"/>
      <c r="Q173" s="281"/>
      <c r="R173" s="281"/>
      <c r="S173" s="281"/>
      <c r="T173" s="281"/>
      <c r="U173" s="281" t="s">
        <v>573</v>
      </c>
      <c r="V173" s="281" t="s">
        <v>574</v>
      </c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</row>
    <row r="174" spans="16:41" ht="12.75">
      <c r="P174" s="281"/>
      <c r="Q174" s="281"/>
      <c r="R174" s="281"/>
      <c r="S174" s="281"/>
      <c r="T174" s="281"/>
      <c r="U174" s="281" t="s">
        <v>575</v>
      </c>
      <c r="V174" s="281" t="s">
        <v>576</v>
      </c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</row>
    <row r="175" spans="16:41" ht="12.75">
      <c r="P175" s="281"/>
      <c r="Q175" s="281"/>
      <c r="R175" s="281"/>
      <c r="S175" s="281"/>
      <c r="T175" s="281"/>
      <c r="U175" s="281" t="s">
        <v>577</v>
      </c>
      <c r="V175" s="281" t="s">
        <v>578</v>
      </c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6:41" ht="12.75">
      <c r="P176" s="281"/>
      <c r="Q176" s="281"/>
      <c r="R176" s="281"/>
      <c r="S176" s="281"/>
      <c r="T176" s="281"/>
      <c r="U176" s="281" t="s">
        <v>579</v>
      </c>
      <c r="V176" s="281" t="s">
        <v>580</v>
      </c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</row>
    <row r="177" spans="16:41" ht="12.75">
      <c r="P177" s="281"/>
      <c r="Q177" s="281"/>
      <c r="R177" s="281"/>
      <c r="S177" s="281"/>
      <c r="T177" s="281"/>
      <c r="U177" s="281" t="s">
        <v>581</v>
      </c>
      <c r="V177" s="281" t="s">
        <v>582</v>
      </c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</row>
    <row r="178" spans="16:41" ht="12.75">
      <c r="P178" s="281"/>
      <c r="Q178" s="281"/>
      <c r="R178" s="281"/>
      <c r="S178" s="281"/>
      <c r="T178" s="281"/>
      <c r="U178" s="281" t="s">
        <v>583</v>
      </c>
      <c r="V178" s="281" t="s">
        <v>584</v>
      </c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6:41" ht="12.75">
      <c r="P179" s="281"/>
      <c r="Q179" s="281"/>
      <c r="R179" s="281"/>
      <c r="S179" s="281"/>
      <c r="T179" s="281"/>
      <c r="U179" s="281" t="s">
        <v>585</v>
      </c>
      <c r="V179" s="281" t="s">
        <v>586</v>
      </c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</row>
    <row r="180" spans="16:41" ht="12.75">
      <c r="P180" s="281"/>
      <c r="Q180" s="281"/>
      <c r="R180" s="281"/>
      <c r="S180" s="281"/>
      <c r="T180" s="281"/>
      <c r="U180" s="281" t="s">
        <v>587</v>
      </c>
      <c r="V180" s="281" t="s">
        <v>588</v>
      </c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</row>
    <row r="181" spans="16:41" ht="12.75">
      <c r="P181" s="281"/>
      <c r="Q181" s="281"/>
      <c r="R181" s="281"/>
      <c r="S181" s="281"/>
      <c r="T181" s="281"/>
      <c r="U181" s="281" t="s">
        <v>589</v>
      </c>
      <c r="V181" s="281" t="s">
        <v>590</v>
      </c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</row>
    <row r="182" spans="16:41" ht="12.75">
      <c r="P182" s="281"/>
      <c r="Q182" s="281"/>
      <c r="R182" s="281"/>
      <c r="S182" s="281"/>
      <c r="T182" s="281"/>
      <c r="U182" s="281" t="s">
        <v>591</v>
      </c>
      <c r="V182" s="281" t="s">
        <v>592</v>
      </c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</row>
    <row r="183" spans="16:41" ht="12.75">
      <c r="P183" s="281"/>
      <c r="Q183" s="281"/>
      <c r="R183" s="281"/>
      <c r="S183" s="281"/>
      <c r="T183" s="281"/>
      <c r="U183" s="281" t="s">
        <v>593</v>
      </c>
      <c r="V183" s="281" t="s">
        <v>594</v>
      </c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</row>
    <row r="184" spans="16:41" ht="12.75">
      <c r="P184" s="281"/>
      <c r="Q184" s="281"/>
      <c r="R184" s="281"/>
      <c r="S184" s="281"/>
      <c r="T184" s="281"/>
      <c r="U184" s="281" t="s">
        <v>595</v>
      </c>
      <c r="V184" s="281" t="s">
        <v>596</v>
      </c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</row>
    <row r="185" spans="16:41" ht="12.75">
      <c r="P185" s="281"/>
      <c r="Q185" s="281"/>
      <c r="R185" s="281"/>
      <c r="S185" s="281"/>
      <c r="T185" s="281"/>
      <c r="U185" s="281" t="s">
        <v>597</v>
      </c>
      <c r="V185" s="281" t="s">
        <v>598</v>
      </c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</row>
    <row r="186" spans="16:41" ht="12.75">
      <c r="P186" s="281"/>
      <c r="Q186" s="281"/>
      <c r="R186" s="281"/>
      <c r="S186" s="281"/>
      <c r="T186" s="281"/>
      <c r="U186" s="281" t="s">
        <v>599</v>
      </c>
      <c r="V186" s="281" t="s">
        <v>600</v>
      </c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</row>
    <row r="187" spans="16:41" ht="12.75">
      <c r="P187" s="281"/>
      <c r="Q187" s="281"/>
      <c r="R187" s="281"/>
      <c r="S187" s="281"/>
      <c r="T187" s="281"/>
      <c r="U187" s="281" t="s">
        <v>601</v>
      </c>
      <c r="V187" s="281" t="s">
        <v>602</v>
      </c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</row>
    <row r="188" spans="16:41" ht="12.75">
      <c r="P188" s="281"/>
      <c r="Q188" s="281"/>
      <c r="R188" s="281"/>
      <c r="S188" s="281"/>
      <c r="T188" s="281"/>
      <c r="U188" s="281" t="s">
        <v>603</v>
      </c>
      <c r="V188" s="281" t="s">
        <v>604</v>
      </c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</row>
    <row r="189" spans="16:41" ht="12.75">
      <c r="P189" s="281"/>
      <c r="Q189" s="281"/>
      <c r="R189" s="281"/>
      <c r="S189" s="281"/>
      <c r="T189" s="281"/>
      <c r="U189" s="281" t="s">
        <v>605</v>
      </c>
      <c r="V189" s="281" t="s">
        <v>606</v>
      </c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  <c r="AM189" s="281"/>
      <c r="AN189" s="281"/>
      <c r="AO189" s="281"/>
    </row>
    <row r="190" spans="16:41" ht="12.75">
      <c r="P190" s="281"/>
      <c r="Q190" s="281"/>
      <c r="R190" s="281"/>
      <c r="S190" s="281"/>
      <c r="T190" s="281"/>
      <c r="U190" s="281" t="s">
        <v>607</v>
      </c>
      <c r="V190" s="281" t="s">
        <v>608</v>
      </c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</row>
    <row r="191" spans="16:41" ht="12.75">
      <c r="P191" s="281"/>
      <c r="Q191" s="281"/>
      <c r="R191" s="281"/>
      <c r="S191" s="281"/>
      <c r="T191" s="281"/>
      <c r="U191" s="281" t="s">
        <v>609</v>
      </c>
      <c r="V191" s="281" t="s">
        <v>610</v>
      </c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  <c r="AM191" s="281"/>
      <c r="AN191" s="281"/>
      <c r="AO191" s="281"/>
    </row>
    <row r="192" spans="16:41" ht="12.75">
      <c r="P192" s="281"/>
      <c r="Q192" s="281"/>
      <c r="R192" s="281"/>
      <c r="S192" s="281"/>
      <c r="T192" s="281"/>
      <c r="U192" s="281" t="s">
        <v>611</v>
      </c>
      <c r="V192" s="281" t="s">
        <v>612</v>
      </c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  <c r="AM192" s="281"/>
      <c r="AN192" s="281"/>
      <c r="AO192" s="281"/>
    </row>
    <row r="193" spans="16:41" ht="12.75">
      <c r="P193" s="281"/>
      <c r="Q193" s="281"/>
      <c r="R193" s="281"/>
      <c r="S193" s="281"/>
      <c r="T193" s="281"/>
      <c r="U193" s="281" t="s">
        <v>613</v>
      </c>
      <c r="V193" s="281" t="s">
        <v>614</v>
      </c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  <c r="AM193" s="281"/>
      <c r="AN193" s="281"/>
      <c r="AO193" s="281"/>
    </row>
    <row r="194" spans="16:41" ht="12.75">
      <c r="P194" s="281"/>
      <c r="Q194" s="281"/>
      <c r="R194" s="281"/>
      <c r="S194" s="281"/>
      <c r="T194" s="281"/>
      <c r="U194" s="281" t="s">
        <v>615</v>
      </c>
      <c r="V194" s="281" t="s">
        <v>616</v>
      </c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</row>
    <row r="195" spans="16:41" ht="12.75">
      <c r="P195" s="281"/>
      <c r="Q195" s="281"/>
      <c r="R195" s="281"/>
      <c r="S195" s="281"/>
      <c r="T195" s="281"/>
      <c r="U195" s="281" t="s">
        <v>617</v>
      </c>
      <c r="V195" s="281" t="s">
        <v>618</v>
      </c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  <c r="AM195" s="281"/>
      <c r="AN195" s="281"/>
      <c r="AO195" s="281"/>
    </row>
    <row r="196" spans="16:41" ht="12.75">
      <c r="P196" s="281"/>
      <c r="Q196" s="281"/>
      <c r="R196" s="281"/>
      <c r="S196" s="281"/>
      <c r="T196" s="281"/>
      <c r="U196" s="281" t="s">
        <v>619</v>
      </c>
      <c r="V196" s="281" t="s">
        <v>620</v>
      </c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  <c r="AM196" s="281"/>
      <c r="AN196" s="281"/>
      <c r="AO196" s="281"/>
    </row>
    <row r="197" spans="16:41" ht="12.75">
      <c r="P197" s="281"/>
      <c r="Q197" s="281"/>
      <c r="R197" s="281"/>
      <c r="S197" s="281"/>
      <c r="T197" s="281"/>
      <c r="U197" s="281" t="s">
        <v>621</v>
      </c>
      <c r="V197" s="281" t="s">
        <v>622</v>
      </c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</row>
    <row r="198" spans="16:41" ht="12.75">
      <c r="P198" s="281"/>
      <c r="Q198" s="281"/>
      <c r="R198" s="281"/>
      <c r="S198" s="281"/>
      <c r="T198" s="281"/>
      <c r="U198" s="281" t="s">
        <v>623</v>
      </c>
      <c r="V198" s="281" t="s">
        <v>624</v>
      </c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  <c r="AM198" s="281"/>
      <c r="AN198" s="281"/>
      <c r="AO198" s="281"/>
    </row>
    <row r="199" spans="16:41" ht="12.75">
      <c r="P199" s="281"/>
      <c r="Q199" s="281"/>
      <c r="R199" s="281"/>
      <c r="S199" s="281"/>
      <c r="T199" s="281"/>
      <c r="U199" s="281" t="s">
        <v>625</v>
      </c>
      <c r="V199" s="281" t="s">
        <v>626</v>
      </c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1"/>
      <c r="AN199" s="281"/>
      <c r="AO199" s="281"/>
    </row>
    <row r="200" spans="16:41" ht="12.75">
      <c r="P200" s="281"/>
      <c r="Q200" s="281"/>
      <c r="R200" s="281"/>
      <c r="S200" s="281"/>
      <c r="T200" s="281"/>
      <c r="U200" s="281" t="s">
        <v>627</v>
      </c>
      <c r="V200" s="281" t="s">
        <v>628</v>
      </c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</row>
    <row r="201" spans="16:41" ht="12.75">
      <c r="P201" s="281"/>
      <c r="Q201" s="281"/>
      <c r="R201" s="281"/>
      <c r="S201" s="281"/>
      <c r="T201" s="281"/>
      <c r="U201" s="281" t="s">
        <v>629</v>
      </c>
      <c r="V201" s="281" t="s">
        <v>630</v>
      </c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</row>
    <row r="202" spans="16:41" ht="12.75">
      <c r="P202" s="281"/>
      <c r="Q202" s="281"/>
      <c r="R202" s="281"/>
      <c r="S202" s="281"/>
      <c r="T202" s="281"/>
      <c r="U202" s="281" t="s">
        <v>631</v>
      </c>
      <c r="V202" s="281" t="s">
        <v>632</v>
      </c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</row>
    <row r="203" spans="16:41" ht="12.75">
      <c r="P203" s="281"/>
      <c r="Q203" s="281"/>
      <c r="R203" s="281"/>
      <c r="S203" s="281"/>
      <c r="T203" s="281"/>
      <c r="U203" s="281" t="s">
        <v>633</v>
      </c>
      <c r="V203" s="281" t="s">
        <v>634</v>
      </c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</row>
    <row r="204" spans="16:41" ht="12.75">
      <c r="P204" s="281"/>
      <c r="Q204" s="281"/>
      <c r="R204" s="281"/>
      <c r="S204" s="281"/>
      <c r="T204" s="281"/>
      <c r="U204" s="281" t="s">
        <v>635</v>
      </c>
      <c r="V204" s="281" t="s">
        <v>636</v>
      </c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/>
      <c r="AO204" s="281"/>
    </row>
    <row r="205" spans="16:41" ht="12.75">
      <c r="P205" s="281"/>
      <c r="Q205" s="281"/>
      <c r="R205" s="281"/>
      <c r="S205" s="281"/>
      <c r="T205" s="281"/>
      <c r="U205" s="281" t="s">
        <v>637</v>
      </c>
      <c r="V205" s="281" t="s">
        <v>638</v>
      </c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281"/>
      <c r="AN205" s="281"/>
      <c r="AO205" s="281"/>
    </row>
    <row r="206" spans="16:41" ht="12.75">
      <c r="P206" s="281"/>
      <c r="Q206" s="281"/>
      <c r="R206" s="281"/>
      <c r="S206" s="281"/>
      <c r="T206" s="281"/>
      <c r="U206" s="281" t="s">
        <v>639</v>
      </c>
      <c r="V206" s="281" t="s">
        <v>640</v>
      </c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</row>
    <row r="207" spans="16:41" ht="12.75">
      <c r="P207" s="281"/>
      <c r="Q207" s="281"/>
      <c r="R207" s="281"/>
      <c r="S207" s="281"/>
      <c r="T207" s="281"/>
      <c r="U207" s="281" t="s">
        <v>641</v>
      </c>
      <c r="V207" s="281" t="s">
        <v>642</v>
      </c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  <c r="AM207" s="281"/>
      <c r="AN207" s="281"/>
      <c r="AO207" s="281"/>
    </row>
    <row r="208" spans="16:41" ht="12.75">
      <c r="P208" s="281"/>
      <c r="Q208" s="281"/>
      <c r="R208" s="281"/>
      <c r="S208" s="281"/>
      <c r="T208" s="281"/>
      <c r="U208" s="281" t="s">
        <v>643</v>
      </c>
      <c r="V208" s="281" t="s">
        <v>644</v>
      </c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1"/>
      <c r="AN208" s="281"/>
      <c r="AO208" s="281"/>
    </row>
    <row r="209" spans="16:41" ht="12.75">
      <c r="P209" s="281"/>
      <c r="Q209" s="281"/>
      <c r="R209" s="281"/>
      <c r="S209" s="281"/>
      <c r="T209" s="281"/>
      <c r="U209" s="281" t="s">
        <v>645</v>
      </c>
      <c r="V209" s="281" t="s">
        <v>646</v>
      </c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</row>
    <row r="210" spans="16:41" ht="12.75">
      <c r="P210" s="281"/>
      <c r="Q210" s="281"/>
      <c r="R210" s="281"/>
      <c r="S210" s="281"/>
      <c r="T210" s="281"/>
      <c r="U210" s="281" t="s">
        <v>647</v>
      </c>
      <c r="V210" s="281" t="s">
        <v>648</v>
      </c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</row>
    <row r="211" spans="16:41" ht="12.75">
      <c r="P211" s="281"/>
      <c r="Q211" s="281"/>
      <c r="R211" s="281"/>
      <c r="S211" s="281"/>
      <c r="T211" s="281"/>
      <c r="U211" s="281" t="s">
        <v>649</v>
      </c>
      <c r="V211" s="281" t="s">
        <v>650</v>
      </c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  <c r="AM211" s="281"/>
      <c r="AN211" s="281"/>
      <c r="AO211" s="281"/>
    </row>
    <row r="212" spans="16:41" ht="12.75">
      <c r="P212" s="281"/>
      <c r="Q212" s="281"/>
      <c r="R212" s="281"/>
      <c r="S212" s="281"/>
      <c r="T212" s="281"/>
      <c r="U212" s="281" t="s">
        <v>651</v>
      </c>
      <c r="V212" s="281" t="s">
        <v>652</v>
      </c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  <c r="AM212" s="281"/>
      <c r="AN212" s="281"/>
      <c r="AO212" s="281"/>
    </row>
    <row r="213" spans="16:41" ht="12.75">
      <c r="P213" s="281"/>
      <c r="Q213" s="281"/>
      <c r="R213" s="281"/>
      <c r="S213" s="281"/>
      <c r="T213" s="281"/>
      <c r="U213" s="281" t="s">
        <v>653</v>
      </c>
      <c r="V213" s="281" t="s">
        <v>654</v>
      </c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</row>
    <row r="214" spans="16:41" ht="12.75">
      <c r="P214" s="281"/>
      <c r="Q214" s="281"/>
      <c r="R214" s="281"/>
      <c r="S214" s="281"/>
      <c r="T214" s="281"/>
      <c r="U214" s="281" t="s">
        <v>655</v>
      </c>
      <c r="V214" s="281" t="s">
        <v>656</v>
      </c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1"/>
      <c r="AN214" s="281"/>
      <c r="AO214" s="281"/>
    </row>
    <row r="215" spans="16:41" ht="12.75">
      <c r="P215" s="281"/>
      <c r="Q215" s="281"/>
      <c r="R215" s="281"/>
      <c r="S215" s="281"/>
      <c r="T215" s="281"/>
      <c r="U215" s="281" t="s">
        <v>657</v>
      </c>
      <c r="V215" s="281" t="s">
        <v>658</v>
      </c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</row>
    <row r="216" spans="16:41" ht="12.75">
      <c r="P216" s="281"/>
      <c r="Q216" s="281"/>
      <c r="R216" s="281"/>
      <c r="S216" s="281"/>
      <c r="T216" s="281"/>
      <c r="U216" s="281" t="s">
        <v>659</v>
      </c>
      <c r="V216" s="281" t="s">
        <v>660</v>
      </c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  <c r="AM216" s="281"/>
      <c r="AN216" s="281"/>
      <c r="AO216" s="281"/>
    </row>
    <row r="217" spans="16:41" ht="12.75">
      <c r="P217" s="281"/>
      <c r="Q217" s="281"/>
      <c r="R217" s="281"/>
      <c r="S217" s="281"/>
      <c r="T217" s="281"/>
      <c r="U217" s="281" t="s">
        <v>661</v>
      </c>
      <c r="V217" s="281" t="s">
        <v>662</v>
      </c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</row>
    <row r="218" spans="16:41" ht="12.75">
      <c r="P218" s="281"/>
      <c r="Q218" s="281"/>
      <c r="R218" s="281"/>
      <c r="S218" s="281"/>
      <c r="T218" s="281"/>
      <c r="U218" s="281" t="s">
        <v>663</v>
      </c>
      <c r="V218" s="281" t="s">
        <v>664</v>
      </c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</row>
    <row r="219" spans="16:41" ht="12.75">
      <c r="P219" s="281"/>
      <c r="Q219" s="281"/>
      <c r="R219" s="281"/>
      <c r="S219" s="281"/>
      <c r="T219" s="281"/>
      <c r="U219" s="281" t="s">
        <v>665</v>
      </c>
      <c r="V219" s="281" t="s">
        <v>666</v>
      </c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</row>
    <row r="220" spans="16:41" ht="12.75">
      <c r="P220" s="281"/>
      <c r="Q220" s="281"/>
      <c r="R220" s="281"/>
      <c r="S220" s="281"/>
      <c r="T220" s="281"/>
      <c r="U220" s="281" t="s">
        <v>667</v>
      </c>
      <c r="V220" s="281" t="s">
        <v>668</v>
      </c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</row>
    <row r="221" spans="16:41" ht="12.75">
      <c r="P221" s="281"/>
      <c r="Q221" s="281"/>
      <c r="R221" s="281"/>
      <c r="S221" s="281"/>
      <c r="T221" s="281"/>
      <c r="U221" s="281" t="s">
        <v>669</v>
      </c>
      <c r="V221" s="281" t="s">
        <v>670</v>
      </c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</row>
    <row r="222" spans="16:41" ht="12.75">
      <c r="P222" s="281"/>
      <c r="Q222" s="281"/>
      <c r="R222" s="281"/>
      <c r="S222" s="281"/>
      <c r="T222" s="281"/>
      <c r="U222" s="281" t="s">
        <v>671</v>
      </c>
      <c r="V222" s="281" t="s">
        <v>672</v>
      </c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</row>
    <row r="223" spans="16:41" ht="12.75">
      <c r="P223" s="281"/>
      <c r="Q223" s="281"/>
      <c r="R223" s="281"/>
      <c r="S223" s="281"/>
      <c r="T223" s="281"/>
      <c r="U223" s="281" t="s">
        <v>673</v>
      </c>
      <c r="V223" s="281" t="s">
        <v>674</v>
      </c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</row>
    <row r="224" spans="16:41" ht="12.75">
      <c r="P224" s="281"/>
      <c r="Q224" s="281"/>
      <c r="R224" s="281"/>
      <c r="S224" s="281"/>
      <c r="T224" s="281"/>
      <c r="U224" s="281" t="s">
        <v>675</v>
      </c>
      <c r="V224" s="281" t="s">
        <v>676</v>
      </c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</row>
    <row r="225" spans="16:41" ht="12.75">
      <c r="P225" s="281"/>
      <c r="Q225" s="281"/>
      <c r="R225" s="281"/>
      <c r="S225" s="281"/>
      <c r="T225" s="281"/>
      <c r="U225" s="281" t="s">
        <v>677</v>
      </c>
      <c r="V225" s="281" t="s">
        <v>678</v>
      </c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</row>
    <row r="226" spans="16:41" ht="12.75">
      <c r="P226" s="281"/>
      <c r="Q226" s="281"/>
      <c r="R226" s="281"/>
      <c r="S226" s="281"/>
      <c r="T226" s="281"/>
      <c r="U226" s="281" t="s">
        <v>679</v>
      </c>
      <c r="V226" s="281" t="s">
        <v>680</v>
      </c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</row>
    <row r="227" spans="16:41" ht="12.75">
      <c r="P227" s="281"/>
      <c r="Q227" s="281"/>
      <c r="R227" s="281"/>
      <c r="S227" s="281"/>
      <c r="T227" s="281"/>
      <c r="U227" s="281" t="s">
        <v>681</v>
      </c>
      <c r="V227" s="281" t="s">
        <v>682</v>
      </c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</row>
    <row r="228" spans="16:41" ht="12.75">
      <c r="P228" s="281"/>
      <c r="Q228" s="281"/>
      <c r="R228" s="281"/>
      <c r="S228" s="281"/>
      <c r="T228" s="281"/>
      <c r="U228" s="281" t="s">
        <v>683</v>
      </c>
      <c r="V228" s="281" t="s">
        <v>684</v>
      </c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</row>
    <row r="229" spans="16:41" ht="12.75">
      <c r="P229" s="281"/>
      <c r="Q229" s="281"/>
      <c r="R229" s="281"/>
      <c r="S229" s="281"/>
      <c r="T229" s="281"/>
      <c r="U229" s="281" t="s">
        <v>685</v>
      </c>
      <c r="V229" s="281" t="s">
        <v>686</v>
      </c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</row>
    <row r="230" spans="16:41" ht="12.75">
      <c r="P230" s="281"/>
      <c r="Q230" s="281"/>
      <c r="R230" s="281"/>
      <c r="S230" s="281"/>
      <c r="T230" s="281"/>
      <c r="U230" s="281" t="s">
        <v>687</v>
      </c>
      <c r="V230" s="281" t="s">
        <v>688</v>
      </c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</row>
    <row r="231" spans="16:41" ht="12.75">
      <c r="P231" s="281"/>
      <c r="Q231" s="281"/>
      <c r="R231" s="281"/>
      <c r="S231" s="281"/>
      <c r="T231" s="281"/>
      <c r="U231" s="281" t="s">
        <v>689</v>
      </c>
      <c r="V231" s="281" t="s">
        <v>690</v>
      </c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</row>
    <row r="232" spans="16:41" ht="12.75">
      <c r="P232" s="281"/>
      <c r="Q232" s="281"/>
      <c r="R232" s="281"/>
      <c r="S232" s="281"/>
      <c r="T232" s="281"/>
      <c r="U232" s="281" t="s">
        <v>691</v>
      </c>
      <c r="V232" s="281" t="s">
        <v>692</v>
      </c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1"/>
      <c r="AM232" s="281"/>
      <c r="AN232" s="281"/>
      <c r="AO232" s="281"/>
    </row>
    <row r="233" spans="16:41" ht="12.75">
      <c r="P233" s="281"/>
      <c r="Q233" s="281"/>
      <c r="R233" s="281"/>
      <c r="S233" s="281"/>
      <c r="T233" s="281"/>
      <c r="U233" s="281" t="s">
        <v>693</v>
      </c>
      <c r="V233" s="281" t="s">
        <v>694</v>
      </c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6:41" ht="12.75">
      <c r="P234" s="281"/>
      <c r="Q234" s="281"/>
      <c r="R234" s="281"/>
      <c r="S234" s="281"/>
      <c r="T234" s="281"/>
      <c r="U234" s="281" t="s">
        <v>695</v>
      </c>
      <c r="V234" s="281" t="s">
        <v>696</v>
      </c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  <c r="AK234" s="281"/>
      <c r="AL234" s="281"/>
      <c r="AM234" s="281"/>
      <c r="AN234" s="281"/>
      <c r="AO234" s="281"/>
    </row>
    <row r="235" spans="16:41" ht="12.75">
      <c r="P235" s="281"/>
      <c r="Q235" s="281"/>
      <c r="R235" s="281"/>
      <c r="S235" s="281"/>
      <c r="T235" s="281"/>
      <c r="U235" s="281" t="s">
        <v>697</v>
      </c>
      <c r="V235" s="281" t="s">
        <v>698</v>
      </c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</row>
    <row r="236" spans="16:41" ht="12.75">
      <c r="P236" s="281"/>
      <c r="Q236" s="281"/>
      <c r="R236" s="281"/>
      <c r="S236" s="281"/>
      <c r="T236" s="281"/>
      <c r="U236" s="281" t="s">
        <v>699</v>
      </c>
      <c r="V236" s="281" t="s">
        <v>700</v>
      </c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</row>
    <row r="237" spans="16:41" ht="12.75">
      <c r="P237" s="281"/>
      <c r="Q237" s="281"/>
      <c r="R237" s="281"/>
      <c r="S237" s="281"/>
      <c r="T237" s="281"/>
      <c r="U237" s="281" t="s">
        <v>701</v>
      </c>
      <c r="V237" s="281" t="s">
        <v>702</v>
      </c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6:41" ht="12.75">
      <c r="P238" s="281"/>
      <c r="Q238" s="281"/>
      <c r="R238" s="281"/>
      <c r="S238" s="281"/>
      <c r="T238" s="281"/>
      <c r="U238" s="281" t="s">
        <v>703</v>
      </c>
      <c r="V238" s="281" t="s">
        <v>704</v>
      </c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  <c r="AK238" s="281"/>
      <c r="AL238" s="281"/>
      <c r="AM238" s="281"/>
      <c r="AN238" s="281"/>
      <c r="AO238" s="281"/>
    </row>
    <row r="239" spans="16:41" ht="12.75">
      <c r="P239" s="281"/>
      <c r="Q239" s="281"/>
      <c r="R239" s="281"/>
      <c r="S239" s="281"/>
      <c r="T239" s="281"/>
      <c r="U239" s="281" t="s">
        <v>705</v>
      </c>
      <c r="V239" s="281" t="s">
        <v>706</v>
      </c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  <c r="AK239" s="281"/>
      <c r="AL239" s="281"/>
      <c r="AM239" s="281"/>
      <c r="AN239" s="281"/>
      <c r="AO239" s="281"/>
    </row>
    <row r="240" spans="16:41" ht="12.75">
      <c r="P240" s="281"/>
      <c r="Q240" s="281"/>
      <c r="R240" s="281"/>
      <c r="S240" s="281"/>
      <c r="T240" s="281"/>
      <c r="U240" s="281" t="s">
        <v>707</v>
      </c>
      <c r="V240" s="281" t="s">
        <v>708</v>
      </c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  <c r="AK240" s="281"/>
      <c r="AL240" s="281"/>
      <c r="AM240" s="281"/>
      <c r="AN240" s="281"/>
      <c r="AO240" s="281"/>
    </row>
    <row r="241" spans="16:41" ht="12.75">
      <c r="P241" s="281"/>
      <c r="Q241" s="281"/>
      <c r="R241" s="281"/>
      <c r="S241" s="281"/>
      <c r="T241" s="281"/>
      <c r="U241" s="281" t="s">
        <v>709</v>
      </c>
      <c r="V241" s="281" t="s">
        <v>710</v>
      </c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</row>
    <row r="242" spans="16:41" ht="12.75">
      <c r="P242" s="281"/>
      <c r="Q242" s="281"/>
      <c r="R242" s="281"/>
      <c r="S242" s="281"/>
      <c r="T242" s="281"/>
      <c r="U242" s="281" t="s">
        <v>711</v>
      </c>
      <c r="V242" s="281" t="s">
        <v>712</v>
      </c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  <c r="AK242" s="281"/>
      <c r="AL242" s="281"/>
      <c r="AM242" s="281"/>
      <c r="AN242" s="281"/>
      <c r="AO242" s="281"/>
    </row>
    <row r="243" spans="16:41" ht="12.75">
      <c r="P243" s="281"/>
      <c r="Q243" s="281"/>
      <c r="R243" s="281"/>
      <c r="S243" s="281"/>
      <c r="T243" s="281"/>
      <c r="U243" s="281" t="s">
        <v>713</v>
      </c>
      <c r="V243" s="281" t="s">
        <v>714</v>
      </c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</row>
    <row r="244" spans="16:41" ht="12.75">
      <c r="P244" s="281"/>
      <c r="Q244" s="281"/>
      <c r="R244" s="281"/>
      <c r="S244" s="281"/>
      <c r="T244" s="281"/>
      <c r="U244" s="281" t="s">
        <v>715</v>
      </c>
      <c r="V244" s="281" t="s">
        <v>716</v>
      </c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</row>
    <row r="245" spans="16:41" ht="12.75">
      <c r="P245" s="281"/>
      <c r="Q245" s="281"/>
      <c r="R245" s="281"/>
      <c r="S245" s="281"/>
      <c r="T245" s="281"/>
      <c r="U245" s="281" t="s">
        <v>717</v>
      </c>
      <c r="V245" s="281" t="s">
        <v>718</v>
      </c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</row>
    <row r="246" spans="16:41" ht="12.75">
      <c r="P246" s="281"/>
      <c r="Q246" s="281"/>
      <c r="R246" s="281"/>
      <c r="S246" s="281"/>
      <c r="T246" s="281"/>
      <c r="U246" s="281" t="s">
        <v>719</v>
      </c>
      <c r="V246" s="281" t="s">
        <v>720</v>
      </c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  <c r="AK246" s="281"/>
      <c r="AL246" s="281"/>
      <c r="AM246" s="281"/>
      <c r="AN246" s="281"/>
      <c r="AO246" s="281"/>
    </row>
    <row r="247" spans="16:41" ht="12.75">
      <c r="P247" s="281"/>
      <c r="Q247" s="281"/>
      <c r="R247" s="281"/>
      <c r="S247" s="281"/>
      <c r="T247" s="281"/>
      <c r="U247" s="281" t="s">
        <v>721</v>
      </c>
      <c r="V247" s="281" t="s">
        <v>722</v>
      </c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  <c r="AK247" s="281"/>
      <c r="AL247" s="281"/>
      <c r="AM247" s="281"/>
      <c r="AN247" s="281"/>
      <c r="AO247" s="281"/>
    </row>
    <row r="248" spans="16:41" ht="12.75">
      <c r="P248" s="281"/>
      <c r="Q248" s="281"/>
      <c r="R248" s="281"/>
      <c r="S248" s="281"/>
      <c r="T248" s="281"/>
      <c r="U248" s="281" t="s">
        <v>723</v>
      </c>
      <c r="V248" s="281" t="s">
        <v>724</v>
      </c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  <c r="AK248" s="281"/>
      <c r="AL248" s="281"/>
      <c r="AM248" s="281"/>
      <c r="AN248" s="281"/>
      <c r="AO248" s="281"/>
    </row>
    <row r="249" spans="16:41" ht="12.75">
      <c r="P249" s="281"/>
      <c r="Q249" s="281"/>
      <c r="R249" s="281"/>
      <c r="S249" s="281"/>
      <c r="T249" s="281"/>
      <c r="U249" s="281" t="s">
        <v>725</v>
      </c>
      <c r="V249" s="281" t="s">
        <v>726</v>
      </c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</row>
    <row r="250" spans="16:41" ht="12.75">
      <c r="P250" s="281"/>
      <c r="Q250" s="281"/>
      <c r="R250" s="281"/>
      <c r="S250" s="281"/>
      <c r="T250" s="281"/>
      <c r="U250" s="281" t="s">
        <v>727</v>
      </c>
      <c r="V250" s="281" t="s">
        <v>728</v>
      </c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</row>
    <row r="251" spans="16:41" ht="12.75">
      <c r="P251" s="281"/>
      <c r="Q251" s="281"/>
      <c r="R251" s="281"/>
      <c r="S251" s="281"/>
      <c r="T251" s="281"/>
      <c r="U251" s="281" t="s">
        <v>729</v>
      </c>
      <c r="V251" s="281" t="s">
        <v>730</v>
      </c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</row>
    <row r="252" spans="16:41" ht="12.75">
      <c r="P252" s="281"/>
      <c r="Q252" s="281"/>
      <c r="R252" s="281"/>
      <c r="S252" s="281"/>
      <c r="T252" s="281"/>
      <c r="U252" s="281" t="s">
        <v>731</v>
      </c>
      <c r="V252" s="281" t="s">
        <v>732</v>
      </c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</row>
    <row r="253" spans="16:41" ht="12.75">
      <c r="P253" s="281"/>
      <c r="Q253" s="281"/>
      <c r="R253" s="281"/>
      <c r="S253" s="281"/>
      <c r="T253" s="281"/>
      <c r="U253" s="281" t="s">
        <v>733</v>
      </c>
      <c r="V253" s="281" t="s">
        <v>734</v>
      </c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</row>
    <row r="254" spans="16:41" ht="12.75">
      <c r="P254" s="281"/>
      <c r="Q254" s="281"/>
      <c r="R254" s="281"/>
      <c r="S254" s="281"/>
      <c r="T254" s="281"/>
      <c r="U254" s="281" t="s">
        <v>735</v>
      </c>
      <c r="V254" s="281" t="s">
        <v>736</v>
      </c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</row>
    <row r="255" spans="16:41" ht="12.75">
      <c r="P255" s="281"/>
      <c r="Q255" s="281"/>
      <c r="R255" s="281"/>
      <c r="S255" s="281"/>
      <c r="T255" s="281"/>
      <c r="U255" s="281" t="s">
        <v>737</v>
      </c>
      <c r="V255" s="281" t="s">
        <v>738</v>
      </c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</row>
    <row r="256" spans="16:41" ht="12.75">
      <c r="P256" s="281"/>
      <c r="Q256" s="281"/>
      <c r="R256" s="281"/>
      <c r="S256" s="281"/>
      <c r="T256" s="281"/>
      <c r="U256" s="281" t="s">
        <v>739</v>
      </c>
      <c r="V256" s="281" t="s">
        <v>740</v>
      </c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</row>
    <row r="257" spans="16:41" ht="12.75">
      <c r="P257" s="281"/>
      <c r="Q257" s="281"/>
      <c r="R257" s="281"/>
      <c r="S257" s="281"/>
      <c r="T257" s="281"/>
      <c r="U257" s="281" t="s">
        <v>741</v>
      </c>
      <c r="V257" s="281" t="s">
        <v>742</v>
      </c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</row>
    <row r="258" spans="16:41" ht="12.75">
      <c r="P258" s="281"/>
      <c r="Q258" s="281"/>
      <c r="R258" s="281"/>
      <c r="S258" s="281"/>
      <c r="T258" s="281"/>
      <c r="U258" s="281" t="s">
        <v>743</v>
      </c>
      <c r="V258" s="281" t="s">
        <v>744</v>
      </c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</row>
    <row r="259" spans="16:41" ht="12.75">
      <c r="P259" s="281"/>
      <c r="Q259" s="281"/>
      <c r="R259" s="281"/>
      <c r="S259" s="281"/>
      <c r="T259" s="281"/>
      <c r="U259" s="281" t="s">
        <v>745</v>
      </c>
      <c r="V259" s="281" t="s">
        <v>746</v>
      </c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</row>
    <row r="260" spans="16:41" ht="12.75">
      <c r="P260" s="281"/>
      <c r="Q260" s="281"/>
      <c r="R260" s="281"/>
      <c r="S260" s="281"/>
      <c r="T260" s="281"/>
      <c r="U260" s="281" t="s">
        <v>747</v>
      </c>
      <c r="V260" s="281" t="s">
        <v>748</v>
      </c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</row>
    <row r="261" spans="16:41" ht="12.75">
      <c r="P261" s="281"/>
      <c r="Q261" s="281"/>
      <c r="R261" s="281"/>
      <c r="S261" s="281"/>
      <c r="T261" s="281"/>
      <c r="U261" s="281" t="s">
        <v>749</v>
      </c>
      <c r="V261" s="281" t="s">
        <v>750</v>
      </c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  <c r="AK261" s="281"/>
      <c r="AL261" s="281"/>
      <c r="AM261" s="281"/>
      <c r="AN261" s="281"/>
      <c r="AO261" s="281"/>
    </row>
    <row r="262" spans="16:41" ht="12.75">
      <c r="P262" s="281"/>
      <c r="Q262" s="281"/>
      <c r="R262" s="281"/>
      <c r="S262" s="281"/>
      <c r="T262" s="281"/>
      <c r="U262" s="281" t="s">
        <v>751</v>
      </c>
      <c r="V262" s="281" t="s">
        <v>752</v>
      </c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  <c r="AK262" s="281"/>
      <c r="AL262" s="281"/>
      <c r="AM262" s="281"/>
      <c r="AN262" s="281"/>
      <c r="AO262" s="281"/>
    </row>
    <row r="263" spans="16:41" ht="12.75">
      <c r="P263" s="281"/>
      <c r="Q263" s="281"/>
      <c r="R263" s="281"/>
      <c r="S263" s="281"/>
      <c r="T263" s="281"/>
      <c r="U263" s="281" t="s">
        <v>753</v>
      </c>
      <c r="V263" s="281" t="s">
        <v>754</v>
      </c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  <c r="AK263" s="281"/>
      <c r="AL263" s="281"/>
      <c r="AM263" s="281"/>
      <c r="AN263" s="281"/>
      <c r="AO263" s="281"/>
    </row>
    <row r="264" spans="16:41" ht="12.75">
      <c r="P264" s="281"/>
      <c r="Q264" s="281"/>
      <c r="R264" s="281"/>
      <c r="S264" s="281"/>
      <c r="T264" s="281"/>
      <c r="U264" s="281" t="s">
        <v>755</v>
      </c>
      <c r="V264" s="281" t="s">
        <v>756</v>
      </c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  <c r="AK264" s="281"/>
      <c r="AL264" s="281"/>
      <c r="AM264" s="281"/>
      <c r="AN264" s="281"/>
      <c r="AO264" s="281"/>
    </row>
    <row r="265" spans="16:41" ht="12.75">
      <c r="P265" s="281"/>
      <c r="Q265" s="281"/>
      <c r="R265" s="281"/>
      <c r="S265" s="281"/>
      <c r="T265" s="281"/>
      <c r="U265" s="281" t="s">
        <v>757</v>
      </c>
      <c r="V265" s="281" t="s">
        <v>758</v>
      </c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  <c r="AK265" s="281"/>
      <c r="AL265" s="281"/>
      <c r="AM265" s="281"/>
      <c r="AN265" s="281"/>
      <c r="AO265" s="281"/>
    </row>
    <row r="266" spans="16:41" ht="12.75">
      <c r="P266" s="281"/>
      <c r="Q266" s="281"/>
      <c r="R266" s="281"/>
      <c r="S266" s="281"/>
      <c r="T266" s="281"/>
      <c r="U266" s="281" t="s">
        <v>759</v>
      </c>
      <c r="V266" s="281" t="s">
        <v>760</v>
      </c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  <c r="AK266" s="281"/>
      <c r="AL266" s="281"/>
      <c r="AM266" s="281"/>
      <c r="AN266" s="281"/>
      <c r="AO266" s="281"/>
    </row>
    <row r="267" spans="16:41" ht="12.75">
      <c r="P267" s="281"/>
      <c r="Q267" s="281"/>
      <c r="R267" s="281"/>
      <c r="S267" s="281"/>
      <c r="T267" s="281"/>
      <c r="U267" s="281" t="s">
        <v>761</v>
      </c>
      <c r="V267" s="281" t="s">
        <v>762</v>
      </c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  <c r="AK267" s="281"/>
      <c r="AL267" s="281"/>
      <c r="AM267" s="281"/>
      <c r="AN267" s="281"/>
      <c r="AO267" s="281"/>
    </row>
    <row r="268" spans="16:41" ht="12.75">
      <c r="P268" s="281"/>
      <c r="Q268" s="281"/>
      <c r="R268" s="281"/>
      <c r="S268" s="281"/>
      <c r="T268" s="281"/>
      <c r="U268" s="281" t="s">
        <v>763</v>
      </c>
      <c r="V268" s="281" t="s">
        <v>764</v>
      </c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  <c r="AK268" s="281"/>
      <c r="AL268" s="281"/>
      <c r="AM268" s="281"/>
      <c r="AN268" s="281"/>
      <c r="AO268" s="281"/>
    </row>
    <row r="269" spans="16:41" ht="12.75">
      <c r="P269" s="281"/>
      <c r="Q269" s="281"/>
      <c r="R269" s="281"/>
      <c r="S269" s="281"/>
      <c r="T269" s="281"/>
      <c r="U269" s="281" t="s">
        <v>765</v>
      </c>
      <c r="V269" s="281" t="s">
        <v>766</v>
      </c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  <c r="AK269" s="281"/>
      <c r="AL269" s="281"/>
      <c r="AM269" s="281"/>
      <c r="AN269" s="281"/>
      <c r="AO269" s="281"/>
    </row>
    <row r="270" spans="16:41" ht="12.75">
      <c r="P270" s="281"/>
      <c r="Q270" s="281"/>
      <c r="R270" s="281"/>
      <c r="S270" s="281"/>
      <c r="T270" s="281"/>
      <c r="U270" s="281" t="s">
        <v>767</v>
      </c>
      <c r="V270" s="281" t="s">
        <v>768</v>
      </c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  <c r="AK270" s="281"/>
      <c r="AL270" s="281"/>
      <c r="AM270" s="281"/>
      <c r="AN270" s="281"/>
      <c r="AO270" s="281"/>
    </row>
    <row r="271" spans="16:41" ht="12.75">
      <c r="P271" s="281"/>
      <c r="Q271" s="281"/>
      <c r="R271" s="281"/>
      <c r="S271" s="281"/>
      <c r="T271" s="281"/>
      <c r="U271" s="281" t="s">
        <v>769</v>
      </c>
      <c r="V271" s="281" t="s">
        <v>770</v>
      </c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  <c r="AK271" s="281"/>
      <c r="AL271" s="281"/>
      <c r="AM271" s="281"/>
      <c r="AN271" s="281"/>
      <c r="AO271" s="281"/>
    </row>
    <row r="272" spans="16:41" ht="12.75">
      <c r="P272" s="281"/>
      <c r="Q272" s="281"/>
      <c r="R272" s="281"/>
      <c r="S272" s="281"/>
      <c r="T272" s="281"/>
      <c r="U272" s="281" t="s">
        <v>771</v>
      </c>
      <c r="V272" s="281" t="s">
        <v>772</v>
      </c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  <c r="AK272" s="281"/>
      <c r="AL272" s="281"/>
      <c r="AM272" s="281"/>
      <c r="AN272" s="281"/>
      <c r="AO272" s="281"/>
    </row>
    <row r="273" spans="16:41" ht="12.75">
      <c r="P273" s="281"/>
      <c r="Q273" s="281"/>
      <c r="R273" s="281"/>
      <c r="S273" s="281"/>
      <c r="T273" s="281"/>
      <c r="U273" s="281" t="s">
        <v>773</v>
      </c>
      <c r="V273" s="281" t="s">
        <v>774</v>
      </c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</row>
    <row r="274" spans="16:41" ht="12.75">
      <c r="P274" s="281"/>
      <c r="Q274" s="281"/>
      <c r="R274" s="281"/>
      <c r="S274" s="281"/>
      <c r="T274" s="281"/>
      <c r="U274" s="281" t="s">
        <v>775</v>
      </c>
      <c r="V274" s="281" t="s">
        <v>776</v>
      </c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281"/>
      <c r="AN274" s="281"/>
      <c r="AO274" s="281"/>
    </row>
    <row r="275" spans="16:41" ht="12.75">
      <c r="P275" s="281"/>
      <c r="Q275" s="281"/>
      <c r="R275" s="281"/>
      <c r="S275" s="281"/>
      <c r="T275" s="281"/>
      <c r="U275" s="281" t="s">
        <v>777</v>
      </c>
      <c r="V275" s="281" t="s">
        <v>778</v>
      </c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  <c r="AK275" s="281"/>
      <c r="AL275" s="281"/>
      <c r="AM275" s="281"/>
      <c r="AN275" s="281"/>
      <c r="AO275" s="281"/>
    </row>
    <row r="276" spans="16:41" ht="12.75">
      <c r="P276" s="281"/>
      <c r="Q276" s="281"/>
      <c r="R276" s="281"/>
      <c r="S276" s="281"/>
      <c r="T276" s="281"/>
      <c r="U276" s="281" t="s">
        <v>779</v>
      </c>
      <c r="V276" s="281" t="s">
        <v>780</v>
      </c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  <c r="AK276" s="281"/>
      <c r="AL276" s="281"/>
      <c r="AM276" s="281"/>
      <c r="AN276" s="281"/>
      <c r="AO276" s="281"/>
    </row>
    <row r="277" spans="16:41" ht="12.75">
      <c r="P277" s="281"/>
      <c r="Q277" s="281"/>
      <c r="R277" s="281"/>
      <c r="S277" s="281"/>
      <c r="T277" s="281"/>
      <c r="U277" s="281" t="s">
        <v>781</v>
      </c>
      <c r="V277" s="281" t="s">
        <v>782</v>
      </c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</row>
    <row r="278" spans="16:41" ht="12.75">
      <c r="P278" s="281"/>
      <c r="Q278" s="281"/>
      <c r="R278" s="281"/>
      <c r="S278" s="281"/>
      <c r="T278" s="281"/>
      <c r="U278" s="281" t="s">
        <v>783</v>
      </c>
      <c r="V278" s="281" t="s">
        <v>784</v>
      </c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  <c r="AK278" s="281"/>
      <c r="AL278" s="281"/>
      <c r="AM278" s="281"/>
      <c r="AN278" s="281"/>
      <c r="AO278" s="281"/>
    </row>
    <row r="279" spans="16:41" ht="12.75">
      <c r="P279" s="281"/>
      <c r="Q279" s="281"/>
      <c r="R279" s="281"/>
      <c r="S279" s="281"/>
      <c r="T279" s="281"/>
      <c r="U279" s="281" t="s">
        <v>785</v>
      </c>
      <c r="V279" s="281" t="s">
        <v>786</v>
      </c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</row>
    <row r="280" spans="16:41" ht="12.75">
      <c r="P280" s="281"/>
      <c r="Q280" s="281"/>
      <c r="R280" s="281"/>
      <c r="S280" s="281"/>
      <c r="T280" s="281"/>
      <c r="U280" s="281" t="s">
        <v>787</v>
      </c>
      <c r="V280" s="281" t="s">
        <v>788</v>
      </c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</row>
    <row r="281" spans="16:41" ht="12.75">
      <c r="P281" s="281"/>
      <c r="Q281" s="281"/>
      <c r="R281" s="281"/>
      <c r="S281" s="281"/>
      <c r="T281" s="281"/>
      <c r="U281" s="281" t="s">
        <v>789</v>
      </c>
      <c r="V281" s="281" t="s">
        <v>790</v>
      </c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</row>
    <row r="282" spans="16:41" ht="12.75">
      <c r="P282" s="281"/>
      <c r="Q282" s="281"/>
      <c r="R282" s="281"/>
      <c r="S282" s="281"/>
      <c r="T282" s="281"/>
      <c r="U282" s="281" t="s">
        <v>791</v>
      </c>
      <c r="V282" s="281" t="s">
        <v>792</v>
      </c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  <c r="AK282" s="281"/>
      <c r="AL282" s="281"/>
      <c r="AM282" s="281"/>
      <c r="AN282" s="281"/>
      <c r="AO282" s="281"/>
    </row>
    <row r="283" spans="16:41" ht="12.75">
      <c r="P283" s="281"/>
      <c r="Q283" s="281"/>
      <c r="R283" s="281"/>
      <c r="S283" s="281"/>
      <c r="T283" s="281"/>
      <c r="U283" s="281" t="s">
        <v>793</v>
      </c>
      <c r="V283" s="281" t="s">
        <v>794</v>
      </c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  <c r="AK283" s="281"/>
      <c r="AL283" s="281"/>
      <c r="AM283" s="281"/>
      <c r="AN283" s="281"/>
      <c r="AO283" s="281"/>
    </row>
    <row r="284" spans="16:41" ht="12.75">
      <c r="P284" s="281"/>
      <c r="Q284" s="281"/>
      <c r="R284" s="281"/>
      <c r="S284" s="281"/>
      <c r="T284" s="281"/>
      <c r="U284" s="281" t="s">
        <v>795</v>
      </c>
      <c r="V284" s="281" t="s">
        <v>796</v>
      </c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/>
      <c r="AN284" s="281"/>
      <c r="AO284" s="281"/>
    </row>
    <row r="285" spans="16:41" ht="12.75">
      <c r="P285" s="281"/>
      <c r="Q285" s="281"/>
      <c r="R285" s="281"/>
      <c r="S285" s="281"/>
      <c r="T285" s="281"/>
      <c r="U285" s="281" t="s">
        <v>797</v>
      </c>
      <c r="V285" s="281" t="s">
        <v>798</v>
      </c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/>
      <c r="AN285" s="281"/>
      <c r="AO285" s="281"/>
    </row>
    <row r="286" spans="16:41" ht="12.75">
      <c r="P286" s="281"/>
      <c r="Q286" s="281"/>
      <c r="R286" s="281"/>
      <c r="S286" s="281"/>
      <c r="T286" s="281"/>
      <c r="U286" s="281" t="s">
        <v>799</v>
      </c>
      <c r="V286" s="281" t="s">
        <v>800</v>
      </c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</row>
    <row r="287" spans="16:41" ht="12.75">
      <c r="P287" s="281"/>
      <c r="Q287" s="281"/>
      <c r="R287" s="281"/>
      <c r="S287" s="281"/>
      <c r="T287" s="281"/>
      <c r="U287" s="281" t="s">
        <v>801</v>
      </c>
      <c r="V287" s="281" t="s">
        <v>802</v>
      </c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  <c r="AK287" s="281"/>
      <c r="AL287" s="281"/>
      <c r="AM287" s="281"/>
      <c r="AN287" s="281"/>
      <c r="AO287" s="281"/>
    </row>
    <row r="288" spans="16:41" ht="12.75">
      <c r="P288" s="281"/>
      <c r="Q288" s="281"/>
      <c r="R288" s="281"/>
      <c r="S288" s="281"/>
      <c r="T288" s="281"/>
      <c r="U288" s="281" t="s">
        <v>803</v>
      </c>
      <c r="V288" s="281" t="s">
        <v>804</v>
      </c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/>
      <c r="AN288" s="281"/>
      <c r="AO288" s="281"/>
    </row>
    <row r="289" spans="16:41" ht="12.75">
      <c r="P289" s="281"/>
      <c r="Q289" s="281"/>
      <c r="R289" s="281"/>
      <c r="S289" s="281"/>
      <c r="T289" s="281"/>
      <c r="U289" s="281" t="s">
        <v>805</v>
      </c>
      <c r="V289" s="281" t="s">
        <v>806</v>
      </c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/>
      <c r="AN289" s="281"/>
      <c r="AO289" s="281"/>
    </row>
    <row r="290" spans="16:41" ht="12.75">
      <c r="P290" s="281"/>
      <c r="Q290" s="281"/>
      <c r="R290" s="281"/>
      <c r="S290" s="281"/>
      <c r="T290" s="281"/>
      <c r="U290" s="281" t="s">
        <v>807</v>
      </c>
      <c r="V290" s="281" t="s">
        <v>808</v>
      </c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/>
      <c r="AN290" s="281"/>
      <c r="AO290" s="281"/>
    </row>
    <row r="291" spans="16:41" ht="12.75">
      <c r="P291" s="281"/>
      <c r="Q291" s="281"/>
      <c r="R291" s="281"/>
      <c r="S291" s="281"/>
      <c r="T291" s="281"/>
      <c r="U291" s="281" t="s">
        <v>809</v>
      </c>
      <c r="V291" s="281" t="s">
        <v>810</v>
      </c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  <c r="AK291" s="281"/>
      <c r="AL291" s="281"/>
      <c r="AM291" s="281"/>
      <c r="AN291" s="281"/>
      <c r="AO291" s="281"/>
    </row>
    <row r="292" spans="16:41" ht="12.75">
      <c r="P292" s="281"/>
      <c r="Q292" s="281"/>
      <c r="R292" s="281"/>
      <c r="S292" s="281"/>
      <c r="T292" s="281"/>
      <c r="U292" s="281" t="s">
        <v>811</v>
      </c>
      <c r="V292" s="281" t="s">
        <v>812</v>
      </c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/>
      <c r="AN292" s="281"/>
      <c r="AO292" s="281"/>
    </row>
    <row r="293" spans="16:41" ht="12.75">
      <c r="P293" s="281"/>
      <c r="Q293" s="281"/>
      <c r="R293" s="281"/>
      <c r="S293" s="281"/>
      <c r="T293" s="281"/>
      <c r="U293" s="281" t="s">
        <v>813</v>
      </c>
      <c r="V293" s="281" t="s">
        <v>814</v>
      </c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</row>
    <row r="294" spans="16:41" ht="12.75">
      <c r="P294" s="281"/>
      <c r="Q294" s="281"/>
      <c r="R294" s="281"/>
      <c r="S294" s="281"/>
      <c r="T294" s="281"/>
      <c r="U294" s="281" t="s">
        <v>815</v>
      </c>
      <c r="V294" s="281" t="s">
        <v>816</v>
      </c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</row>
    <row r="295" spans="16:41" ht="12.75">
      <c r="P295" s="281"/>
      <c r="Q295" s="281"/>
      <c r="R295" s="281"/>
      <c r="S295" s="281"/>
      <c r="T295" s="281"/>
      <c r="U295" s="281" t="s">
        <v>817</v>
      </c>
      <c r="V295" s="281" t="s">
        <v>818</v>
      </c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</row>
    <row r="296" spans="16:41" ht="12.75">
      <c r="P296" s="281"/>
      <c r="Q296" s="281"/>
      <c r="R296" s="281"/>
      <c r="S296" s="281"/>
      <c r="T296" s="281"/>
      <c r="U296" s="281" t="s">
        <v>819</v>
      </c>
      <c r="V296" s="281" t="s">
        <v>820</v>
      </c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</row>
    <row r="297" spans="16:41" ht="12.75">
      <c r="P297" s="281"/>
      <c r="Q297" s="281"/>
      <c r="R297" s="281"/>
      <c r="S297" s="281"/>
      <c r="T297" s="281"/>
      <c r="U297" s="281" t="s">
        <v>821</v>
      </c>
      <c r="V297" s="281" t="s">
        <v>822</v>
      </c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</row>
    <row r="298" spans="16:41" ht="12.75">
      <c r="P298" s="281"/>
      <c r="Q298" s="281"/>
      <c r="R298" s="281"/>
      <c r="S298" s="281"/>
      <c r="T298" s="281"/>
      <c r="U298" s="281" t="s">
        <v>823</v>
      </c>
      <c r="V298" s="281" t="s">
        <v>824</v>
      </c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</row>
    <row r="299" spans="16:41" ht="12.75">
      <c r="P299" s="281"/>
      <c r="Q299" s="281"/>
      <c r="R299" s="281"/>
      <c r="S299" s="281"/>
      <c r="T299" s="281"/>
      <c r="U299" s="281" t="s">
        <v>825</v>
      </c>
      <c r="V299" s="281" t="s">
        <v>826</v>
      </c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  <c r="AK299" s="281"/>
      <c r="AL299" s="281"/>
      <c r="AM299" s="281"/>
      <c r="AN299" s="281"/>
      <c r="AO299" s="281"/>
    </row>
    <row r="300" spans="16:41" ht="12.75">
      <c r="P300" s="281"/>
      <c r="Q300" s="281"/>
      <c r="R300" s="281"/>
      <c r="S300" s="281"/>
      <c r="T300" s="281"/>
      <c r="U300" s="281" t="s">
        <v>827</v>
      </c>
      <c r="V300" s="281" t="s">
        <v>828</v>
      </c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  <c r="AK300" s="281"/>
      <c r="AL300" s="281"/>
      <c r="AM300" s="281"/>
      <c r="AN300" s="281"/>
      <c r="AO300" s="281"/>
    </row>
    <row r="301" spans="16:41" ht="12.75">
      <c r="P301" s="281"/>
      <c r="Q301" s="281"/>
      <c r="R301" s="281"/>
      <c r="S301" s="281"/>
      <c r="T301" s="281"/>
      <c r="U301" s="281" t="s">
        <v>829</v>
      </c>
      <c r="V301" s="281" t="s">
        <v>830</v>
      </c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  <c r="AK301" s="281"/>
      <c r="AL301" s="281"/>
      <c r="AM301" s="281"/>
      <c r="AN301" s="281"/>
      <c r="AO301" s="281"/>
    </row>
    <row r="302" spans="16:41" ht="12.75">
      <c r="P302" s="281"/>
      <c r="Q302" s="281"/>
      <c r="R302" s="281"/>
      <c r="S302" s="281"/>
      <c r="T302" s="281"/>
      <c r="U302" s="281" t="s">
        <v>831</v>
      </c>
      <c r="V302" s="281" t="s">
        <v>832</v>
      </c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</row>
    <row r="303" spans="16:41" ht="12.75">
      <c r="P303" s="281"/>
      <c r="Q303" s="281"/>
      <c r="R303" s="281"/>
      <c r="S303" s="281"/>
      <c r="T303" s="281"/>
      <c r="U303" s="281" t="s">
        <v>833</v>
      </c>
      <c r="V303" s="281" t="s">
        <v>834</v>
      </c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  <c r="AK303" s="281"/>
      <c r="AL303" s="281"/>
      <c r="AM303" s="281"/>
      <c r="AN303" s="281"/>
      <c r="AO303" s="281"/>
    </row>
    <row r="304" spans="16:41" ht="12.75">
      <c r="P304" s="281"/>
      <c r="Q304" s="281"/>
      <c r="R304" s="281"/>
      <c r="S304" s="281"/>
      <c r="T304" s="281"/>
      <c r="U304" s="281" t="s">
        <v>835</v>
      </c>
      <c r="V304" s="281" t="s">
        <v>836</v>
      </c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1"/>
      <c r="AM304" s="281"/>
      <c r="AN304" s="281"/>
      <c r="AO304" s="281"/>
    </row>
    <row r="305" spans="16:41" ht="12.75">
      <c r="P305" s="281"/>
      <c r="Q305" s="281"/>
      <c r="R305" s="281"/>
      <c r="S305" s="281"/>
      <c r="T305" s="281"/>
      <c r="U305" s="281" t="s">
        <v>837</v>
      </c>
      <c r="V305" s="281" t="s">
        <v>838</v>
      </c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1"/>
      <c r="AM305" s="281"/>
      <c r="AN305" s="281"/>
      <c r="AO305" s="281"/>
    </row>
    <row r="306" spans="16:41" ht="12.75">
      <c r="P306" s="281"/>
      <c r="Q306" s="281"/>
      <c r="R306" s="281"/>
      <c r="S306" s="281"/>
      <c r="T306" s="281"/>
      <c r="U306" s="281" t="s">
        <v>839</v>
      </c>
      <c r="V306" s="281" t="s">
        <v>840</v>
      </c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  <c r="AK306" s="281"/>
      <c r="AL306" s="281"/>
      <c r="AM306" s="281"/>
      <c r="AN306" s="281"/>
      <c r="AO306" s="281"/>
    </row>
    <row r="307" spans="16:41" ht="12.75">
      <c r="P307" s="281"/>
      <c r="Q307" s="281"/>
      <c r="R307" s="281"/>
      <c r="S307" s="281"/>
      <c r="T307" s="281"/>
      <c r="U307" s="281" t="s">
        <v>841</v>
      </c>
      <c r="V307" s="281" t="s">
        <v>842</v>
      </c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  <c r="AK307" s="281"/>
      <c r="AL307" s="281"/>
      <c r="AM307" s="281"/>
      <c r="AN307" s="281"/>
      <c r="AO307" s="281"/>
    </row>
    <row r="308" spans="16:41" ht="12.75">
      <c r="P308" s="281"/>
      <c r="Q308" s="281"/>
      <c r="R308" s="281"/>
      <c r="S308" s="281"/>
      <c r="T308" s="281"/>
      <c r="U308" s="281" t="s">
        <v>843</v>
      </c>
      <c r="V308" s="281" t="s">
        <v>844</v>
      </c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  <c r="AK308" s="281"/>
      <c r="AL308" s="281"/>
      <c r="AM308" s="281"/>
      <c r="AN308" s="281"/>
      <c r="AO308" s="281"/>
    </row>
    <row r="309" spans="16:41" ht="12.75">
      <c r="P309" s="281"/>
      <c r="Q309" s="281"/>
      <c r="R309" s="281"/>
      <c r="S309" s="281"/>
      <c r="T309" s="281"/>
      <c r="U309" s="281" t="s">
        <v>845</v>
      </c>
      <c r="V309" s="281" t="s">
        <v>846</v>
      </c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  <c r="AK309" s="281"/>
      <c r="AL309" s="281"/>
      <c r="AM309" s="281"/>
      <c r="AN309" s="281"/>
      <c r="AO309" s="281"/>
    </row>
    <row r="310" spans="16:41" ht="12.75">
      <c r="P310" s="281"/>
      <c r="Q310" s="281"/>
      <c r="R310" s="281"/>
      <c r="S310" s="281"/>
      <c r="T310" s="281"/>
      <c r="U310" s="281" t="s">
        <v>847</v>
      </c>
      <c r="V310" s="281" t="s">
        <v>848</v>
      </c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  <c r="AK310" s="281"/>
      <c r="AL310" s="281"/>
      <c r="AM310" s="281"/>
      <c r="AN310" s="281"/>
      <c r="AO310" s="281"/>
    </row>
    <row r="311" spans="16:41" ht="12.75">
      <c r="P311" s="281"/>
      <c r="Q311" s="281"/>
      <c r="R311" s="281"/>
      <c r="S311" s="281"/>
      <c r="T311" s="281"/>
      <c r="U311" s="281" t="s">
        <v>849</v>
      </c>
      <c r="V311" s="281" t="s">
        <v>850</v>
      </c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  <c r="AK311" s="281"/>
      <c r="AL311" s="281"/>
      <c r="AM311" s="281"/>
      <c r="AN311" s="281"/>
      <c r="AO311" s="281"/>
    </row>
    <row r="312" spans="16:41" ht="12.75">
      <c r="P312" s="281"/>
      <c r="Q312" s="281"/>
      <c r="R312" s="281"/>
      <c r="S312" s="281"/>
      <c r="T312" s="281"/>
      <c r="U312" s="281" t="s">
        <v>851</v>
      </c>
      <c r="V312" s="281" t="s">
        <v>852</v>
      </c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  <c r="AK312" s="281"/>
      <c r="AL312" s="281"/>
      <c r="AM312" s="281"/>
      <c r="AN312" s="281"/>
      <c r="AO312" s="281"/>
    </row>
    <row r="313" spans="16:41" ht="12.75">
      <c r="P313" s="281"/>
      <c r="Q313" s="281"/>
      <c r="R313" s="281"/>
      <c r="S313" s="281"/>
      <c r="T313" s="281"/>
      <c r="U313" s="281" t="s">
        <v>853</v>
      </c>
      <c r="V313" s="281" t="s">
        <v>854</v>
      </c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</row>
    <row r="314" spans="16:41" ht="12.75">
      <c r="P314" s="281"/>
      <c r="Q314" s="281"/>
      <c r="R314" s="281"/>
      <c r="S314" s="281"/>
      <c r="T314" s="281"/>
      <c r="U314" s="281" t="s">
        <v>855</v>
      </c>
      <c r="V314" s="281" t="s">
        <v>856</v>
      </c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  <c r="AK314" s="281"/>
      <c r="AL314" s="281"/>
      <c r="AM314" s="281"/>
      <c r="AN314" s="281"/>
      <c r="AO314" s="281"/>
    </row>
    <row r="315" spans="16:41" ht="12.75">
      <c r="P315" s="281"/>
      <c r="Q315" s="281"/>
      <c r="R315" s="281"/>
      <c r="S315" s="281"/>
      <c r="T315" s="281"/>
      <c r="U315" s="281" t="s">
        <v>857</v>
      </c>
      <c r="V315" s="281" t="s">
        <v>858</v>
      </c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  <c r="AK315" s="281"/>
      <c r="AL315" s="281"/>
      <c r="AM315" s="281"/>
      <c r="AN315" s="281"/>
      <c r="AO315" s="281"/>
    </row>
    <row r="316" spans="16:41" ht="12.75">
      <c r="P316" s="281"/>
      <c r="Q316" s="281"/>
      <c r="R316" s="281"/>
      <c r="S316" s="281"/>
      <c r="T316" s="281"/>
      <c r="U316" s="281" t="s">
        <v>859</v>
      </c>
      <c r="V316" s="281" t="s">
        <v>860</v>
      </c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  <c r="AK316" s="281"/>
      <c r="AL316" s="281"/>
      <c r="AM316" s="281"/>
      <c r="AN316" s="281"/>
      <c r="AO316" s="281"/>
    </row>
    <row r="317" spans="16:41" ht="12.75">
      <c r="P317" s="281"/>
      <c r="Q317" s="281"/>
      <c r="R317" s="281"/>
      <c r="S317" s="281"/>
      <c r="T317" s="281"/>
      <c r="U317" s="281" t="s">
        <v>861</v>
      </c>
      <c r="V317" s="281" t="s">
        <v>862</v>
      </c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  <c r="AK317" s="281"/>
      <c r="AL317" s="281"/>
      <c r="AM317" s="281"/>
      <c r="AN317" s="281"/>
      <c r="AO317" s="281"/>
    </row>
    <row r="318" spans="16:41" ht="12.75">
      <c r="P318" s="281"/>
      <c r="Q318" s="281"/>
      <c r="R318" s="281"/>
      <c r="S318" s="281"/>
      <c r="T318" s="281"/>
      <c r="U318" s="281" t="s">
        <v>863</v>
      </c>
      <c r="V318" s="281" t="s">
        <v>864</v>
      </c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  <c r="AK318" s="281"/>
      <c r="AL318" s="281"/>
      <c r="AM318" s="281"/>
      <c r="AN318" s="281"/>
      <c r="AO318" s="281"/>
    </row>
    <row r="319" spans="16:41" ht="12.75">
      <c r="P319" s="281"/>
      <c r="Q319" s="281"/>
      <c r="R319" s="281"/>
      <c r="S319" s="281"/>
      <c r="T319" s="281"/>
      <c r="U319" s="281" t="s">
        <v>865</v>
      </c>
      <c r="V319" s="281" t="s">
        <v>866</v>
      </c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  <c r="AK319" s="281"/>
      <c r="AL319" s="281"/>
      <c r="AM319" s="281"/>
      <c r="AN319" s="281"/>
      <c r="AO319" s="281"/>
    </row>
    <row r="320" spans="16:41" ht="12.75">
      <c r="P320" s="281"/>
      <c r="Q320" s="281"/>
      <c r="R320" s="281"/>
      <c r="S320" s="281"/>
      <c r="T320" s="281"/>
      <c r="U320" s="281" t="s">
        <v>867</v>
      </c>
      <c r="V320" s="281" t="s">
        <v>868</v>
      </c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  <c r="AK320" s="281"/>
      <c r="AL320" s="281"/>
      <c r="AM320" s="281"/>
      <c r="AN320" s="281"/>
      <c r="AO320" s="281"/>
    </row>
    <row r="321" spans="16:41" ht="12.75">
      <c r="P321" s="281"/>
      <c r="Q321" s="281"/>
      <c r="R321" s="281"/>
      <c r="S321" s="281"/>
      <c r="T321" s="281"/>
      <c r="U321" s="281" t="s">
        <v>869</v>
      </c>
      <c r="V321" s="281" t="s">
        <v>870</v>
      </c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  <c r="AK321" s="281"/>
      <c r="AL321" s="281"/>
      <c r="AM321" s="281"/>
      <c r="AN321" s="281"/>
      <c r="AO321" s="281"/>
    </row>
    <row r="322" spans="16:41" ht="12.75">
      <c r="P322" s="281"/>
      <c r="Q322" s="281"/>
      <c r="R322" s="281"/>
      <c r="S322" s="281"/>
      <c r="T322" s="281"/>
      <c r="U322" s="281" t="s">
        <v>871</v>
      </c>
      <c r="V322" s="281" t="s">
        <v>872</v>
      </c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</row>
    <row r="323" spans="16:41" ht="12.75">
      <c r="P323" s="281"/>
      <c r="Q323" s="281"/>
      <c r="R323" s="281"/>
      <c r="S323" s="281"/>
      <c r="T323" s="281"/>
      <c r="U323" s="281" t="s">
        <v>873</v>
      </c>
      <c r="V323" s="281" t="s">
        <v>874</v>
      </c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  <c r="AK323" s="281"/>
      <c r="AL323" s="281"/>
      <c r="AM323" s="281"/>
      <c r="AN323" s="281"/>
      <c r="AO323" s="281"/>
    </row>
    <row r="324" spans="16:41" ht="12.75">
      <c r="P324" s="281"/>
      <c r="Q324" s="281"/>
      <c r="R324" s="281"/>
      <c r="S324" s="281"/>
      <c r="T324" s="281"/>
      <c r="U324" s="281" t="s">
        <v>875</v>
      </c>
      <c r="V324" s="281" t="s">
        <v>876</v>
      </c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</row>
    <row r="325" spans="16:41" ht="12.75">
      <c r="P325" s="281"/>
      <c r="Q325" s="281"/>
      <c r="R325" s="281"/>
      <c r="S325" s="281"/>
      <c r="T325" s="281"/>
      <c r="U325" s="281" t="s">
        <v>877</v>
      </c>
      <c r="V325" s="281" t="s">
        <v>878</v>
      </c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  <c r="AK325" s="281"/>
      <c r="AL325" s="281"/>
      <c r="AM325" s="281"/>
      <c r="AN325" s="281"/>
      <c r="AO325" s="281"/>
    </row>
    <row r="326" spans="16:41" ht="12.75">
      <c r="P326" s="281"/>
      <c r="Q326" s="281"/>
      <c r="R326" s="281"/>
      <c r="S326" s="281"/>
      <c r="T326" s="281"/>
      <c r="U326" s="281" t="s">
        <v>879</v>
      </c>
      <c r="V326" s="281" t="s">
        <v>880</v>
      </c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</row>
    <row r="327" spans="16:41" ht="12.75">
      <c r="P327" s="281"/>
      <c r="Q327" s="281"/>
      <c r="R327" s="281"/>
      <c r="S327" s="281"/>
      <c r="T327" s="281"/>
      <c r="U327" s="281" t="s">
        <v>881</v>
      </c>
      <c r="V327" s="281" t="s">
        <v>882</v>
      </c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</row>
    <row r="328" spans="16:41" ht="12.75">
      <c r="P328" s="281"/>
      <c r="Q328" s="281"/>
      <c r="R328" s="281"/>
      <c r="S328" s="281"/>
      <c r="T328" s="281"/>
      <c r="U328" s="281" t="s">
        <v>883</v>
      </c>
      <c r="V328" s="281" t="s">
        <v>884</v>
      </c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</row>
    <row r="329" spans="16:41" ht="12.75">
      <c r="P329" s="281"/>
      <c r="Q329" s="281"/>
      <c r="R329" s="281"/>
      <c r="S329" s="281"/>
      <c r="T329" s="281"/>
      <c r="U329" s="281" t="s">
        <v>885</v>
      </c>
      <c r="V329" s="281" t="s">
        <v>886</v>
      </c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</row>
    <row r="330" spans="16:41" ht="12.75">
      <c r="P330" s="281"/>
      <c r="Q330" s="281"/>
      <c r="R330" s="281"/>
      <c r="S330" s="281"/>
      <c r="T330" s="281"/>
      <c r="U330" s="281" t="s">
        <v>887</v>
      </c>
      <c r="V330" s="281" t="s">
        <v>888</v>
      </c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</row>
    <row r="331" spans="16:41" ht="12.75">
      <c r="P331" s="281"/>
      <c r="Q331" s="281"/>
      <c r="R331" s="281"/>
      <c r="S331" s="281"/>
      <c r="T331" s="281"/>
      <c r="U331" s="281" t="s">
        <v>889</v>
      </c>
      <c r="V331" s="281" t="s">
        <v>890</v>
      </c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</row>
    <row r="332" spans="16:41" ht="12.75">
      <c r="P332" s="281"/>
      <c r="Q332" s="281"/>
      <c r="R332" s="281"/>
      <c r="S332" s="281"/>
      <c r="T332" s="281"/>
      <c r="U332" s="281" t="s">
        <v>891</v>
      </c>
      <c r="V332" s="281" t="s">
        <v>892</v>
      </c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</row>
    <row r="333" spans="16:41" ht="12.75">
      <c r="P333" s="281"/>
      <c r="Q333" s="281"/>
      <c r="R333" s="281"/>
      <c r="S333" s="281"/>
      <c r="T333" s="281"/>
      <c r="U333" s="281" t="s">
        <v>893</v>
      </c>
      <c r="V333" s="281" t="s">
        <v>894</v>
      </c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</row>
    <row r="334" spans="16:41" ht="12.75">
      <c r="P334" s="281"/>
      <c r="Q334" s="281"/>
      <c r="R334" s="281"/>
      <c r="S334" s="281"/>
      <c r="T334" s="281"/>
      <c r="U334" s="281" t="s">
        <v>895</v>
      </c>
      <c r="V334" s="281" t="s">
        <v>896</v>
      </c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</row>
    <row r="335" spans="16:41" ht="12.75">
      <c r="P335" s="281"/>
      <c r="Q335" s="281"/>
      <c r="R335" s="281"/>
      <c r="S335" s="281"/>
      <c r="T335" s="281"/>
      <c r="U335" s="281" t="s">
        <v>897</v>
      </c>
      <c r="V335" s="281" t="s">
        <v>898</v>
      </c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  <c r="AK335" s="281"/>
      <c r="AL335" s="281"/>
      <c r="AM335" s="281"/>
      <c r="AN335" s="281"/>
      <c r="AO335" s="281"/>
    </row>
    <row r="336" spans="16:41" ht="12.75">
      <c r="P336" s="281"/>
      <c r="Q336" s="281"/>
      <c r="R336" s="281"/>
      <c r="S336" s="281"/>
      <c r="T336" s="281"/>
      <c r="U336" s="281" t="s">
        <v>899</v>
      </c>
      <c r="V336" s="281" t="s">
        <v>900</v>
      </c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  <c r="AK336" s="281"/>
      <c r="AL336" s="281"/>
      <c r="AM336" s="281"/>
      <c r="AN336" s="281"/>
      <c r="AO336" s="281"/>
    </row>
    <row r="337" spans="16:41" ht="12.75">
      <c r="P337" s="281"/>
      <c r="Q337" s="281"/>
      <c r="R337" s="281"/>
      <c r="S337" s="281"/>
      <c r="T337" s="281"/>
      <c r="U337" s="281" t="s">
        <v>901</v>
      </c>
      <c r="V337" s="281" t="s">
        <v>902</v>
      </c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  <c r="AK337" s="281"/>
      <c r="AL337" s="281"/>
      <c r="AM337" s="281"/>
      <c r="AN337" s="281"/>
      <c r="AO337" s="281"/>
    </row>
    <row r="338" spans="16:41" ht="12.75">
      <c r="P338" s="281"/>
      <c r="Q338" s="281"/>
      <c r="R338" s="281"/>
      <c r="S338" s="281"/>
      <c r="T338" s="281"/>
      <c r="U338" s="281" t="s">
        <v>903</v>
      </c>
      <c r="V338" s="281" t="s">
        <v>904</v>
      </c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  <c r="AK338" s="281"/>
      <c r="AL338" s="281"/>
      <c r="AM338" s="281"/>
      <c r="AN338" s="281"/>
      <c r="AO338" s="281"/>
    </row>
    <row r="339" spans="16:41" ht="12.75">
      <c r="P339" s="281"/>
      <c r="Q339" s="281"/>
      <c r="R339" s="281"/>
      <c r="S339" s="281"/>
      <c r="T339" s="281"/>
      <c r="U339" s="281" t="s">
        <v>905</v>
      </c>
      <c r="V339" s="281" t="s">
        <v>906</v>
      </c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</row>
    <row r="340" spans="16:41" ht="12.75">
      <c r="P340" s="281"/>
      <c r="Q340" s="281"/>
      <c r="R340" s="281"/>
      <c r="S340" s="281"/>
      <c r="T340" s="281"/>
      <c r="U340" s="281" t="s">
        <v>907</v>
      </c>
      <c r="V340" s="281" t="s">
        <v>908</v>
      </c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</row>
    <row r="341" spans="16:41" ht="12.75">
      <c r="P341" s="281"/>
      <c r="Q341" s="281"/>
      <c r="R341" s="281"/>
      <c r="S341" s="281"/>
      <c r="T341" s="281"/>
      <c r="U341" s="281" t="s">
        <v>909</v>
      </c>
      <c r="V341" s="281" t="s">
        <v>910</v>
      </c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  <c r="AK341" s="281"/>
      <c r="AL341" s="281"/>
      <c r="AM341" s="281"/>
      <c r="AN341" s="281"/>
      <c r="AO341" s="281"/>
    </row>
    <row r="342" spans="16:41" ht="12.75">
      <c r="P342" s="281"/>
      <c r="Q342" s="281"/>
      <c r="R342" s="281"/>
      <c r="S342" s="281"/>
      <c r="T342" s="281"/>
      <c r="U342" s="281" t="s">
        <v>911</v>
      </c>
      <c r="V342" s="281" t="s">
        <v>912</v>
      </c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</row>
    <row r="343" spans="16:41" ht="12.75">
      <c r="P343" s="281"/>
      <c r="Q343" s="281"/>
      <c r="R343" s="281"/>
      <c r="S343" s="281"/>
      <c r="T343" s="281"/>
      <c r="U343" s="281" t="s">
        <v>913</v>
      </c>
      <c r="V343" s="281" t="s">
        <v>914</v>
      </c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  <c r="AK343" s="281"/>
      <c r="AL343" s="281"/>
      <c r="AM343" s="281"/>
      <c r="AN343" s="281"/>
      <c r="AO343" s="281"/>
    </row>
    <row r="344" spans="16:41" ht="12.75">
      <c r="P344" s="281"/>
      <c r="Q344" s="281"/>
      <c r="R344" s="281"/>
      <c r="S344" s="281"/>
      <c r="T344" s="281"/>
      <c r="U344" s="281" t="s">
        <v>915</v>
      </c>
      <c r="V344" s="281" t="s">
        <v>916</v>
      </c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</row>
    <row r="345" spans="16:41" ht="12.75">
      <c r="P345" s="281"/>
      <c r="Q345" s="281"/>
      <c r="R345" s="281"/>
      <c r="S345" s="281"/>
      <c r="T345" s="281"/>
      <c r="U345" s="281" t="s">
        <v>917</v>
      </c>
      <c r="V345" s="281" t="s">
        <v>918</v>
      </c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  <c r="AK345" s="281"/>
      <c r="AL345" s="281"/>
      <c r="AM345" s="281"/>
      <c r="AN345" s="281"/>
      <c r="AO345" s="281"/>
    </row>
    <row r="346" spans="16:41" ht="12.75">
      <c r="P346" s="281"/>
      <c r="Q346" s="281"/>
      <c r="R346" s="281"/>
      <c r="S346" s="281"/>
      <c r="T346" s="281"/>
      <c r="U346" s="281" t="s">
        <v>919</v>
      </c>
      <c r="V346" s="281" t="s">
        <v>920</v>
      </c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</row>
    <row r="347" spans="16:41" ht="12.75">
      <c r="P347" s="281"/>
      <c r="Q347" s="281"/>
      <c r="R347" s="281"/>
      <c r="S347" s="281"/>
      <c r="T347" s="281"/>
      <c r="U347" s="281" t="s">
        <v>921</v>
      </c>
      <c r="V347" s="281" t="s">
        <v>922</v>
      </c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  <c r="AK347" s="281"/>
      <c r="AL347" s="281"/>
      <c r="AM347" s="281"/>
      <c r="AN347" s="281"/>
      <c r="AO347" s="281"/>
    </row>
    <row r="348" spans="16:41" ht="12.75">
      <c r="P348" s="281"/>
      <c r="Q348" s="281"/>
      <c r="R348" s="281"/>
      <c r="S348" s="281"/>
      <c r="T348" s="281"/>
      <c r="U348" s="281" t="s">
        <v>923</v>
      </c>
      <c r="V348" s="281" t="s">
        <v>924</v>
      </c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</row>
    <row r="349" spans="16:41" ht="12.75">
      <c r="P349" s="281"/>
      <c r="Q349" s="281"/>
      <c r="R349" s="281"/>
      <c r="S349" s="281"/>
      <c r="T349" s="281"/>
      <c r="U349" s="281" t="s">
        <v>925</v>
      </c>
      <c r="V349" s="281" t="s">
        <v>926</v>
      </c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</row>
    <row r="350" spans="16:41" ht="12.75">
      <c r="P350" s="281"/>
      <c r="Q350" s="281"/>
      <c r="R350" s="281"/>
      <c r="S350" s="281"/>
      <c r="T350" s="281"/>
      <c r="U350" s="281" t="s">
        <v>927</v>
      </c>
      <c r="V350" s="281" t="s">
        <v>928</v>
      </c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</row>
    <row r="351" spans="16:41" ht="12.75">
      <c r="P351" s="281"/>
      <c r="Q351" s="281"/>
      <c r="R351" s="281"/>
      <c r="S351" s="281"/>
      <c r="T351" s="281"/>
      <c r="U351" s="281" t="s">
        <v>929</v>
      </c>
      <c r="V351" s="281" t="s">
        <v>930</v>
      </c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  <c r="AK351" s="281"/>
      <c r="AL351" s="281"/>
      <c r="AM351" s="281"/>
      <c r="AN351" s="281"/>
      <c r="AO351" s="281"/>
    </row>
    <row r="352" spans="16:41" ht="12.75">
      <c r="P352" s="281"/>
      <c r="Q352" s="281"/>
      <c r="R352" s="281"/>
      <c r="S352" s="281"/>
      <c r="T352" s="281"/>
      <c r="U352" s="281" t="s">
        <v>931</v>
      </c>
      <c r="V352" s="281" t="s">
        <v>932</v>
      </c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</row>
    <row r="353" spans="16:41" ht="12.75">
      <c r="P353" s="281"/>
      <c r="Q353" s="281"/>
      <c r="R353" s="281"/>
      <c r="S353" s="281"/>
      <c r="T353" s="281"/>
      <c r="U353" s="281" t="s">
        <v>933</v>
      </c>
      <c r="V353" s="281" t="s">
        <v>934</v>
      </c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</row>
    <row r="354" spans="16:41" ht="12.75">
      <c r="P354" s="281"/>
      <c r="Q354" s="281"/>
      <c r="R354" s="281"/>
      <c r="S354" s="281"/>
      <c r="T354" s="281"/>
      <c r="U354" s="281" t="s">
        <v>935</v>
      </c>
      <c r="V354" s="281" t="s">
        <v>936</v>
      </c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</row>
    <row r="355" spans="16:41" ht="12.75">
      <c r="P355" s="281"/>
      <c r="Q355" s="281"/>
      <c r="R355" s="281"/>
      <c r="S355" s="281"/>
      <c r="T355" s="281"/>
      <c r="U355" s="281" t="s">
        <v>937</v>
      </c>
      <c r="V355" s="281" t="s">
        <v>938</v>
      </c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</row>
    <row r="356" spans="16:41" ht="12.75">
      <c r="P356" s="281"/>
      <c r="Q356" s="281"/>
      <c r="R356" s="281"/>
      <c r="S356" s="281"/>
      <c r="T356" s="281"/>
      <c r="U356" s="281" t="s">
        <v>939</v>
      </c>
      <c r="V356" s="281" t="s">
        <v>940</v>
      </c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</row>
    <row r="357" spans="16:41" ht="12.75">
      <c r="P357" s="281"/>
      <c r="Q357" s="281"/>
      <c r="R357" s="281"/>
      <c r="S357" s="281"/>
      <c r="T357" s="281"/>
      <c r="U357" s="281" t="s">
        <v>941</v>
      </c>
      <c r="V357" s="281" t="s">
        <v>942</v>
      </c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</row>
    <row r="358" spans="16:41" ht="12.75">
      <c r="P358" s="281"/>
      <c r="Q358" s="281"/>
      <c r="R358" s="281"/>
      <c r="S358" s="281"/>
      <c r="T358" s="281"/>
      <c r="U358" s="281" t="s">
        <v>943</v>
      </c>
      <c r="V358" s="281" t="s">
        <v>944</v>
      </c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</row>
    <row r="359" spans="16:41" ht="12.75">
      <c r="P359" s="281"/>
      <c r="Q359" s="281"/>
      <c r="R359" s="281"/>
      <c r="S359" s="281"/>
      <c r="T359" s="281"/>
      <c r="U359" s="281" t="s">
        <v>945</v>
      </c>
      <c r="V359" s="281" t="s">
        <v>946</v>
      </c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  <c r="AK359" s="281"/>
      <c r="AL359" s="281"/>
      <c r="AM359" s="281"/>
      <c r="AN359" s="281"/>
      <c r="AO359" s="281"/>
    </row>
    <row r="360" spans="16:41" ht="12.75">
      <c r="P360" s="281"/>
      <c r="Q360" s="281"/>
      <c r="R360" s="281"/>
      <c r="S360" s="281"/>
      <c r="T360" s="281"/>
      <c r="U360" s="281" t="s">
        <v>947</v>
      </c>
      <c r="V360" s="281" t="s">
        <v>948</v>
      </c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</row>
    <row r="361" spans="16:41" ht="12.75">
      <c r="P361" s="281"/>
      <c r="Q361" s="281"/>
      <c r="R361" s="281"/>
      <c r="S361" s="281"/>
      <c r="T361" s="281"/>
      <c r="U361" s="281" t="s">
        <v>949</v>
      </c>
      <c r="V361" s="281" t="s">
        <v>950</v>
      </c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</row>
    <row r="362" spans="16:41" ht="12.75">
      <c r="P362" s="281"/>
      <c r="Q362" s="281"/>
      <c r="R362" s="281"/>
      <c r="S362" s="281"/>
      <c r="T362" s="281"/>
      <c r="U362" s="281" t="s">
        <v>951</v>
      </c>
      <c r="V362" s="281" t="s">
        <v>952</v>
      </c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</row>
    <row r="363" spans="16:41" ht="12.75">
      <c r="P363" s="281"/>
      <c r="Q363" s="281"/>
      <c r="R363" s="281"/>
      <c r="S363" s="281"/>
      <c r="T363" s="281"/>
      <c r="U363" s="281" t="s">
        <v>953</v>
      </c>
      <c r="V363" s="281" t="s">
        <v>954</v>
      </c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  <c r="AK363" s="281"/>
      <c r="AL363" s="281"/>
      <c r="AM363" s="281"/>
      <c r="AN363" s="281"/>
      <c r="AO363" s="281"/>
    </row>
    <row r="364" spans="16:41" ht="12.75">
      <c r="P364" s="281"/>
      <c r="Q364" s="281"/>
      <c r="R364" s="281"/>
      <c r="S364" s="281"/>
      <c r="T364" s="281"/>
      <c r="U364" s="281" t="s">
        <v>955</v>
      </c>
      <c r="V364" s="281" t="s">
        <v>956</v>
      </c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  <c r="AK364" s="281"/>
      <c r="AL364" s="281"/>
      <c r="AM364" s="281"/>
      <c r="AN364" s="281"/>
      <c r="AO364" s="281"/>
    </row>
    <row r="365" spans="16:41" ht="12.75">
      <c r="P365" s="281"/>
      <c r="Q365" s="281"/>
      <c r="R365" s="281"/>
      <c r="S365" s="281"/>
      <c r="T365" s="281"/>
      <c r="U365" s="281" t="s">
        <v>957</v>
      </c>
      <c r="V365" s="281" t="s">
        <v>958</v>
      </c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  <c r="AK365" s="281"/>
      <c r="AL365" s="281"/>
      <c r="AM365" s="281"/>
      <c r="AN365" s="281"/>
      <c r="AO365" s="281"/>
    </row>
    <row r="366" spans="16:41" ht="12.75">
      <c r="P366" s="281"/>
      <c r="Q366" s="281"/>
      <c r="R366" s="281"/>
      <c r="S366" s="281"/>
      <c r="T366" s="281"/>
      <c r="U366" s="281" t="s">
        <v>959</v>
      </c>
      <c r="V366" s="281" t="s">
        <v>960</v>
      </c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  <c r="AK366" s="281"/>
      <c r="AL366" s="281"/>
      <c r="AM366" s="281"/>
      <c r="AN366" s="281"/>
      <c r="AO366" s="281"/>
    </row>
    <row r="367" spans="16:41" ht="12.75">
      <c r="P367" s="281"/>
      <c r="Q367" s="281"/>
      <c r="R367" s="281"/>
      <c r="S367" s="281"/>
      <c r="T367" s="281"/>
      <c r="U367" s="281" t="s">
        <v>961</v>
      </c>
      <c r="V367" s="281" t="s">
        <v>962</v>
      </c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</row>
    <row r="368" spans="16:41" ht="12.75">
      <c r="P368" s="281"/>
      <c r="Q368" s="281"/>
      <c r="R368" s="281"/>
      <c r="S368" s="281"/>
      <c r="T368" s="281"/>
      <c r="U368" s="281" t="s">
        <v>963</v>
      </c>
      <c r="V368" s="281" t="s">
        <v>964</v>
      </c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  <c r="AK368" s="281"/>
      <c r="AL368" s="281"/>
      <c r="AM368" s="281"/>
      <c r="AN368" s="281"/>
      <c r="AO368" s="281"/>
    </row>
    <row r="369" spans="16:41" ht="12.75">
      <c r="P369" s="281"/>
      <c r="Q369" s="281"/>
      <c r="R369" s="281"/>
      <c r="S369" s="281"/>
      <c r="T369" s="281"/>
      <c r="U369" s="281" t="s">
        <v>965</v>
      </c>
      <c r="V369" s="281" t="s">
        <v>966</v>
      </c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1"/>
      <c r="AO369" s="281"/>
    </row>
    <row r="370" spans="16:41" ht="12.75">
      <c r="P370" s="281"/>
      <c r="Q370" s="281"/>
      <c r="R370" s="281"/>
      <c r="S370" s="281"/>
      <c r="T370" s="281"/>
      <c r="U370" s="281" t="s">
        <v>967</v>
      </c>
      <c r="V370" s="281" t="s">
        <v>968</v>
      </c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</row>
    <row r="371" spans="16:41" ht="12.75">
      <c r="P371" s="281"/>
      <c r="Q371" s="281"/>
      <c r="R371" s="281"/>
      <c r="S371" s="281"/>
      <c r="T371" s="281"/>
      <c r="U371" s="281" t="s">
        <v>969</v>
      </c>
      <c r="V371" s="281" t="s">
        <v>970</v>
      </c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  <c r="AK371" s="281"/>
      <c r="AL371" s="281"/>
      <c r="AM371" s="281"/>
      <c r="AN371" s="281"/>
      <c r="AO371" s="281"/>
    </row>
    <row r="372" spans="16:41" ht="12.75"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  <c r="AK372" s="281"/>
      <c r="AL372" s="281"/>
      <c r="AM372" s="281"/>
      <c r="AN372" s="281"/>
      <c r="AO372" s="281"/>
    </row>
    <row r="373" spans="16:41" ht="12.75"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  <c r="AK373" s="281"/>
      <c r="AL373" s="281"/>
      <c r="AM373" s="281"/>
      <c r="AN373" s="281"/>
      <c r="AO373" s="281"/>
    </row>
    <row r="374" spans="16:41" ht="12.75"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  <c r="AK374" s="281"/>
      <c r="AL374" s="281"/>
      <c r="AM374" s="281"/>
      <c r="AN374" s="281"/>
      <c r="AO374" s="281"/>
    </row>
    <row r="375" spans="16:41" ht="12.75"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  <c r="AK375" s="281"/>
      <c r="AL375" s="281"/>
      <c r="AM375" s="281"/>
      <c r="AN375" s="281"/>
      <c r="AO375" s="281"/>
    </row>
    <row r="376" spans="16:41" ht="12.75"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1"/>
      <c r="AM376" s="281"/>
      <c r="AN376" s="281"/>
      <c r="AO376" s="281"/>
    </row>
    <row r="377" spans="16:41" ht="12.75"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1"/>
      <c r="AM377" s="281"/>
      <c r="AN377" s="281"/>
      <c r="AO377" s="281"/>
    </row>
    <row r="378" spans="16:41" ht="12.75"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  <c r="AK378" s="281"/>
      <c r="AL378" s="281"/>
      <c r="AM378" s="281"/>
      <c r="AN378" s="281"/>
      <c r="AO378" s="281"/>
    </row>
    <row r="379" spans="16:41" ht="12.75"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  <c r="AK379" s="281"/>
      <c r="AL379" s="281"/>
      <c r="AM379" s="281"/>
      <c r="AN379" s="281"/>
      <c r="AO379" s="281"/>
    </row>
    <row r="380" spans="16:41" ht="12.75"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  <c r="AK380" s="281"/>
      <c r="AL380" s="281"/>
      <c r="AM380" s="281"/>
      <c r="AN380" s="281"/>
      <c r="AO380" s="281"/>
    </row>
    <row r="381" spans="16:41" ht="12.75"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  <c r="AK381" s="281"/>
      <c r="AL381" s="281"/>
      <c r="AM381" s="281"/>
      <c r="AN381" s="281"/>
      <c r="AO381" s="281"/>
    </row>
    <row r="382" spans="16:41" ht="12.75"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  <c r="AK382" s="281"/>
      <c r="AL382" s="281"/>
      <c r="AM382" s="281"/>
      <c r="AN382" s="281"/>
      <c r="AO382" s="281"/>
    </row>
    <row r="383" spans="16:41" ht="12.75"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  <c r="AK383" s="281"/>
      <c r="AL383" s="281"/>
      <c r="AM383" s="281"/>
      <c r="AN383" s="281"/>
      <c r="AO383" s="281"/>
    </row>
    <row r="384" spans="16:41" ht="12.75"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  <c r="AK384" s="281"/>
      <c r="AL384" s="281"/>
      <c r="AM384" s="281"/>
      <c r="AN384" s="281"/>
      <c r="AO384" s="281"/>
    </row>
    <row r="385" spans="16:41" ht="12.75"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  <c r="AK385" s="281"/>
      <c r="AL385" s="281"/>
      <c r="AM385" s="281"/>
      <c r="AN385" s="281"/>
      <c r="AO385" s="281"/>
    </row>
    <row r="386" spans="16:41" ht="12.75"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  <c r="AK386" s="281"/>
      <c r="AL386" s="281"/>
      <c r="AM386" s="281"/>
      <c r="AN386" s="281"/>
      <c r="AO386" s="281"/>
    </row>
    <row r="387" spans="16:41" ht="12.75"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</row>
    <row r="388" spans="16:41" ht="12.75"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  <c r="AK388" s="281"/>
      <c r="AL388" s="281"/>
      <c r="AM388" s="281"/>
      <c r="AN388" s="281"/>
      <c r="AO388" s="281"/>
    </row>
    <row r="389" spans="16:41" ht="12.75"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  <c r="AK389" s="281"/>
      <c r="AL389" s="281"/>
      <c r="AM389" s="281"/>
      <c r="AN389" s="281"/>
      <c r="AO389" s="281"/>
    </row>
    <row r="390" spans="16:41" ht="12.75"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1"/>
      <c r="AN390" s="281"/>
      <c r="AO390" s="281"/>
    </row>
    <row r="391" spans="16:41" ht="12.75"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</row>
    <row r="392" spans="16:41" ht="12.75"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  <c r="AK392" s="281"/>
      <c r="AL392" s="281"/>
      <c r="AM392" s="281"/>
      <c r="AN392" s="281"/>
      <c r="AO392" s="281"/>
    </row>
    <row r="393" spans="16:41" ht="12.75"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  <c r="AK393" s="281"/>
      <c r="AL393" s="281"/>
      <c r="AM393" s="281"/>
      <c r="AN393" s="281"/>
      <c r="AO393" s="281"/>
    </row>
    <row r="394" spans="16:41" ht="12.75"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  <c r="AK394" s="281"/>
      <c r="AL394" s="281"/>
      <c r="AM394" s="281"/>
      <c r="AN394" s="281"/>
      <c r="AO394" s="281"/>
    </row>
    <row r="395" spans="16:41" ht="12.75"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  <c r="AK395" s="281"/>
      <c r="AL395" s="281"/>
      <c r="AM395" s="281"/>
      <c r="AN395" s="281"/>
      <c r="AO395" s="281"/>
    </row>
    <row r="396" spans="16:41" ht="12.75"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  <c r="AK396" s="281"/>
      <c r="AL396" s="281"/>
      <c r="AM396" s="281"/>
      <c r="AN396" s="281"/>
      <c r="AO396" s="281"/>
    </row>
    <row r="397" spans="16:41" ht="12.75"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  <c r="AK397" s="281"/>
      <c r="AL397" s="281"/>
      <c r="AM397" s="281"/>
      <c r="AN397" s="281"/>
      <c r="AO397" s="281"/>
    </row>
    <row r="398" spans="16:41" ht="12.75"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  <c r="AK398" s="281"/>
      <c r="AL398" s="281"/>
      <c r="AM398" s="281"/>
      <c r="AN398" s="281"/>
      <c r="AO398" s="281"/>
    </row>
    <row r="399" spans="16:41" ht="12.75"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  <c r="AK399" s="281"/>
      <c r="AL399" s="281"/>
      <c r="AM399" s="281"/>
      <c r="AN399" s="281"/>
      <c r="AO399" s="281"/>
    </row>
    <row r="400" spans="16:41" ht="12.75"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1"/>
      <c r="AM400" s="281"/>
      <c r="AN400" s="281"/>
      <c r="AO400" s="281"/>
    </row>
    <row r="401" spans="16:41" ht="12.75"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1"/>
      <c r="AM401" s="281"/>
      <c r="AN401" s="281"/>
      <c r="AO401" s="281"/>
    </row>
    <row r="402" spans="16:41" ht="12.75"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</row>
    <row r="403" spans="16:41" ht="12.75"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</row>
    <row r="404" spans="16:41" ht="12.75"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  <c r="AK404" s="281"/>
      <c r="AL404" s="281"/>
      <c r="AM404" s="281"/>
      <c r="AN404" s="281"/>
      <c r="AO404" s="281"/>
    </row>
    <row r="405" spans="16:41" ht="12.75"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  <c r="AK405" s="281"/>
      <c r="AL405" s="281"/>
      <c r="AM405" s="281"/>
      <c r="AN405" s="281"/>
      <c r="AO405" s="281"/>
    </row>
    <row r="406" spans="16:41" ht="12.75"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  <c r="AK406" s="281"/>
      <c r="AL406" s="281"/>
      <c r="AM406" s="281"/>
      <c r="AN406" s="281"/>
      <c r="AO406" s="281"/>
    </row>
    <row r="407" spans="16:41" ht="12.75"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  <c r="AK407" s="281"/>
      <c r="AL407" s="281"/>
      <c r="AM407" s="281"/>
      <c r="AN407" s="281"/>
      <c r="AO407" s="281"/>
    </row>
    <row r="408" spans="16:41" ht="12.75"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  <c r="AK408" s="281"/>
      <c r="AL408" s="281"/>
      <c r="AM408" s="281"/>
      <c r="AN408" s="281"/>
      <c r="AO408" s="281"/>
    </row>
    <row r="409" spans="16:41" ht="12.75"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  <c r="AK409" s="281"/>
      <c r="AL409" s="281"/>
      <c r="AM409" s="281"/>
      <c r="AN409" s="281"/>
      <c r="AO409" s="281"/>
    </row>
    <row r="410" spans="16:41" ht="12.75"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1"/>
    </row>
    <row r="411" spans="16:41" ht="12.75"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  <c r="AK411" s="281"/>
      <c r="AL411" s="281"/>
      <c r="AM411" s="281"/>
      <c r="AN411" s="281"/>
      <c r="AO411" s="281"/>
    </row>
    <row r="412" spans="16:41" ht="12.75"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  <c r="AK412" s="281"/>
      <c r="AL412" s="281"/>
      <c r="AM412" s="281"/>
      <c r="AN412" s="281"/>
      <c r="AO412" s="281"/>
    </row>
    <row r="413" spans="16:41" ht="12.75"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  <c r="AK413" s="281"/>
      <c r="AL413" s="281"/>
      <c r="AM413" s="281"/>
      <c r="AN413" s="281"/>
      <c r="AO413" s="281"/>
    </row>
    <row r="414" spans="16:41" ht="12.75"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  <c r="AK414" s="281"/>
      <c r="AL414" s="281"/>
      <c r="AM414" s="281"/>
      <c r="AN414" s="281"/>
      <c r="AO414" s="281"/>
    </row>
    <row r="415" spans="16:41" ht="12.75"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  <c r="AK415" s="281"/>
      <c r="AL415" s="281"/>
      <c r="AM415" s="281"/>
      <c r="AN415" s="281"/>
      <c r="AO415" s="281"/>
    </row>
    <row r="416" spans="16:41" ht="12.75"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</row>
    <row r="417" spans="16:41" ht="12.75"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1"/>
    </row>
    <row r="418" spans="16:41" ht="12.75"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  <c r="AK418" s="281"/>
      <c r="AL418" s="281"/>
      <c r="AM418" s="281"/>
      <c r="AN418" s="281"/>
      <c r="AO418" s="281"/>
    </row>
    <row r="419" spans="16:41" ht="12.75"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</row>
    <row r="420" spans="16:41" ht="12.75"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  <c r="AK420" s="281"/>
      <c r="AL420" s="281"/>
      <c r="AM420" s="281"/>
      <c r="AN420" s="281"/>
      <c r="AO420" s="281"/>
    </row>
    <row r="421" spans="16:41" ht="12.75"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  <c r="AK421" s="281"/>
      <c r="AL421" s="281"/>
      <c r="AM421" s="281"/>
      <c r="AN421" s="281"/>
      <c r="AO421" s="281"/>
    </row>
    <row r="422" spans="16:41" ht="12.75"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  <c r="AK422" s="281"/>
      <c r="AL422" s="281"/>
      <c r="AM422" s="281"/>
      <c r="AN422" s="281"/>
      <c r="AO422" s="281"/>
    </row>
    <row r="423" spans="16:41" ht="12.75"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  <c r="AK423" s="281"/>
      <c r="AL423" s="281"/>
      <c r="AM423" s="281"/>
      <c r="AN423" s="281"/>
      <c r="AO423" s="281"/>
    </row>
    <row r="424" spans="16:41" ht="12.75"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1"/>
    </row>
    <row r="425" spans="16:41" ht="12.75"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1"/>
      <c r="AM425" s="281"/>
      <c r="AN425" s="281"/>
      <c r="AO425" s="281"/>
    </row>
    <row r="426" spans="16:41" ht="12.75"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</row>
    <row r="427" spans="16:41" ht="12.75"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  <c r="AK427" s="281"/>
      <c r="AL427" s="281"/>
      <c r="AM427" s="281"/>
      <c r="AN427" s="281"/>
      <c r="AO427" s="281"/>
    </row>
    <row r="428" spans="16:41" ht="12.75"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  <c r="AK428" s="281"/>
      <c r="AL428" s="281"/>
      <c r="AM428" s="281"/>
      <c r="AN428" s="281"/>
      <c r="AO428" s="281"/>
    </row>
    <row r="429" spans="16:41" ht="12.75"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  <c r="AK429" s="281"/>
      <c r="AL429" s="281"/>
      <c r="AM429" s="281"/>
      <c r="AN429" s="281"/>
      <c r="AO429" s="281"/>
    </row>
    <row r="430" spans="16:41" ht="12.75"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</row>
    <row r="431" spans="16:41" ht="12.75"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1"/>
    </row>
    <row r="432" spans="16:41" ht="12.75"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  <c r="AK432" s="281"/>
      <c r="AL432" s="281"/>
      <c r="AM432" s="281"/>
      <c r="AN432" s="281"/>
      <c r="AO432" s="281"/>
    </row>
    <row r="433" spans="16:41" ht="12.75"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  <c r="AK433" s="281"/>
      <c r="AL433" s="281"/>
      <c r="AM433" s="281"/>
      <c r="AN433" s="281"/>
      <c r="AO433" s="281"/>
    </row>
    <row r="434" spans="16:41" ht="12.75"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  <c r="AK434" s="281"/>
      <c r="AL434" s="281"/>
      <c r="AM434" s="281"/>
      <c r="AN434" s="281"/>
      <c r="AO434" s="281"/>
    </row>
    <row r="435" spans="16:41" ht="12.75"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  <c r="AK435" s="281"/>
      <c r="AL435" s="281"/>
      <c r="AM435" s="281"/>
      <c r="AN435" s="281"/>
      <c r="AO435" s="281"/>
    </row>
    <row r="436" spans="16:41" ht="12.75"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  <c r="AK436" s="281"/>
      <c r="AL436" s="281"/>
      <c r="AM436" s="281"/>
      <c r="AN436" s="281"/>
      <c r="AO436" s="281"/>
    </row>
    <row r="437" spans="16:41" ht="12.75"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  <c r="AK437" s="281"/>
      <c r="AL437" s="281"/>
      <c r="AM437" s="281"/>
      <c r="AN437" s="281"/>
      <c r="AO437" s="281"/>
    </row>
    <row r="438" spans="16:41" ht="12.75"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</row>
    <row r="439" spans="16:41" ht="12.75"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  <c r="AK439" s="281"/>
      <c r="AL439" s="281"/>
      <c r="AM439" s="281"/>
      <c r="AN439" s="281"/>
      <c r="AO439" s="281"/>
    </row>
    <row r="440" spans="16:41" ht="12.75"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  <c r="AK440" s="281"/>
      <c r="AL440" s="281"/>
      <c r="AM440" s="281"/>
      <c r="AN440" s="281"/>
      <c r="AO440" s="281"/>
    </row>
    <row r="441" spans="16:41" ht="12.75"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  <c r="AK441" s="281"/>
      <c r="AL441" s="281"/>
      <c r="AM441" s="281"/>
      <c r="AN441" s="281"/>
      <c r="AO441" s="281"/>
    </row>
    <row r="442" spans="16:41" ht="12.75"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  <c r="AK442" s="281"/>
      <c r="AL442" s="281"/>
      <c r="AM442" s="281"/>
      <c r="AN442" s="281"/>
      <c r="AO442" s="281"/>
    </row>
    <row r="443" spans="16:41" ht="12.75"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  <c r="AK443" s="281"/>
      <c r="AL443" s="281"/>
      <c r="AM443" s="281"/>
      <c r="AN443" s="281"/>
      <c r="AO443" s="281"/>
    </row>
    <row r="444" spans="16:41" ht="12.75"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  <c r="AK444" s="281"/>
      <c r="AL444" s="281"/>
      <c r="AM444" s="281"/>
      <c r="AN444" s="281"/>
      <c r="AO444" s="281"/>
    </row>
    <row r="445" spans="16:41" ht="12.75"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  <c r="AK445" s="281"/>
      <c r="AL445" s="281"/>
      <c r="AM445" s="281"/>
      <c r="AN445" s="281"/>
      <c r="AO445" s="281"/>
    </row>
    <row r="446" spans="16:41" ht="12.75"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  <c r="AK446" s="281"/>
      <c r="AL446" s="281"/>
      <c r="AM446" s="281"/>
      <c r="AN446" s="281"/>
      <c r="AO446" s="281"/>
    </row>
    <row r="447" spans="16:41" ht="12.75"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</row>
    <row r="448" spans="16:41" ht="12.75"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</row>
    <row r="449" spans="16:41" ht="12.75"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</row>
    <row r="450" spans="16:41" ht="12.75"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</row>
    <row r="451" spans="16:41" ht="12.75"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</row>
    <row r="452" spans="16:41" ht="12.75"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</row>
    <row r="453" spans="16:41" ht="12.75"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</row>
    <row r="454" spans="16:41" ht="12.75"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</row>
    <row r="455" spans="16:41" ht="12.75"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</row>
    <row r="456" spans="16:41" ht="12.75"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</row>
    <row r="457" spans="16:41" ht="12.75"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</row>
    <row r="458" spans="16:41" ht="12.75"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</row>
    <row r="459" spans="16:41" ht="12.75"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</row>
    <row r="460" spans="16:41" ht="12.75"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</row>
    <row r="461" spans="16:41" ht="12.75"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</row>
    <row r="462" spans="16:41" ht="12.75"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</row>
    <row r="463" spans="16:41" ht="12.75"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</row>
    <row r="464" spans="16:41" ht="12.75"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</row>
    <row r="465" spans="16:41" ht="12.75"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</row>
    <row r="466" spans="16:41" ht="12.75"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</row>
    <row r="467" spans="16:41" ht="12.75"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</row>
    <row r="468" spans="16:41" ht="12.75"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</row>
    <row r="469" spans="16:41" ht="12.75"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</row>
    <row r="470" spans="16:41" ht="12.75"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</row>
    <row r="471" spans="16:41" ht="12.75"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</row>
    <row r="472" spans="16:41" ht="12.75"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</row>
    <row r="473" spans="16:41" ht="12.75"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</row>
    <row r="474" spans="16:41" ht="12.75"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</row>
    <row r="475" spans="16:41" ht="12.75"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</row>
    <row r="476" spans="16:41" ht="12.75"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281"/>
    </row>
    <row r="477" spans="16:41" ht="12.75"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281"/>
    </row>
    <row r="478" spans="16:41" ht="12.75"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  <c r="AK478" s="281"/>
      <c r="AL478" s="281"/>
      <c r="AM478" s="281"/>
      <c r="AN478" s="281"/>
      <c r="AO478" s="281"/>
    </row>
    <row r="479" spans="16:41" ht="12.75"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  <c r="AK479" s="281"/>
      <c r="AL479" s="281"/>
      <c r="AM479" s="281"/>
      <c r="AN479" s="281"/>
      <c r="AO479" s="281"/>
    </row>
    <row r="480" spans="16:41" ht="12.75"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</row>
    <row r="481" spans="16:41" ht="12.75"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  <c r="AK481" s="281"/>
      <c r="AL481" s="281"/>
      <c r="AM481" s="281"/>
      <c r="AN481" s="281"/>
      <c r="AO481" s="281"/>
    </row>
    <row r="482" spans="16:41" ht="12.75"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  <c r="AK482" s="281"/>
      <c r="AL482" s="281"/>
      <c r="AM482" s="281"/>
      <c r="AN482" s="281"/>
      <c r="AO482" s="281"/>
    </row>
    <row r="483" spans="16:41" ht="12.75"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  <c r="AK483" s="281"/>
      <c r="AL483" s="281"/>
      <c r="AM483" s="281"/>
      <c r="AN483" s="281"/>
      <c r="AO483" s="281"/>
    </row>
    <row r="484" spans="16:41" ht="12.75"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  <c r="AK484" s="281"/>
      <c r="AL484" s="281"/>
      <c r="AM484" s="281"/>
      <c r="AN484" s="281"/>
      <c r="AO484" s="281"/>
    </row>
    <row r="485" spans="16:41" ht="12.75"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  <c r="AK485" s="281"/>
      <c r="AL485" s="281"/>
      <c r="AM485" s="281"/>
      <c r="AN485" s="281"/>
      <c r="AO485" s="281"/>
    </row>
    <row r="486" spans="16:41" ht="12.75"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  <c r="AK486" s="281"/>
      <c r="AL486" s="281"/>
      <c r="AM486" s="281"/>
      <c r="AN486" s="281"/>
      <c r="AO486" s="281"/>
    </row>
    <row r="487" spans="16:41" ht="12.75"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</row>
    <row r="488" spans="16:41" ht="12.75"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  <c r="AK488" s="281"/>
      <c r="AL488" s="281"/>
      <c r="AM488" s="281"/>
      <c r="AN488" s="281"/>
      <c r="AO488" s="281"/>
    </row>
    <row r="489" spans="16:41" ht="12.75"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</row>
    <row r="490" spans="16:41" ht="12.75"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  <c r="AK490" s="281"/>
      <c r="AL490" s="281"/>
      <c r="AM490" s="281"/>
      <c r="AN490" s="281"/>
      <c r="AO490" s="281"/>
    </row>
    <row r="491" spans="16:41" ht="12.75"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  <c r="AK491" s="281"/>
      <c r="AL491" s="281"/>
      <c r="AM491" s="281"/>
      <c r="AN491" s="281"/>
      <c r="AO491" s="281"/>
    </row>
    <row r="492" spans="16:41" ht="12.75"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  <c r="AK492" s="281"/>
      <c r="AL492" s="281"/>
      <c r="AM492" s="281"/>
      <c r="AN492" s="281"/>
      <c r="AO492" s="281"/>
    </row>
    <row r="493" spans="16:41" ht="12.75"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  <c r="AK493" s="281"/>
      <c r="AL493" s="281"/>
      <c r="AM493" s="281"/>
      <c r="AN493" s="281"/>
      <c r="AO493" s="281"/>
    </row>
    <row r="494" spans="16:41" ht="12.75"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  <c r="AK494" s="281"/>
      <c r="AL494" s="281"/>
      <c r="AM494" s="281"/>
      <c r="AN494" s="281"/>
      <c r="AO494" s="281"/>
    </row>
    <row r="495" spans="16:41" ht="12.75"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  <c r="AK495" s="281"/>
      <c r="AL495" s="281"/>
      <c r="AM495" s="281"/>
      <c r="AN495" s="281"/>
      <c r="AO495" s="281"/>
    </row>
    <row r="496" spans="16:41" ht="12.75"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  <c r="AK496" s="281"/>
      <c r="AL496" s="281"/>
      <c r="AM496" s="281"/>
      <c r="AN496" s="281"/>
      <c r="AO496" s="281"/>
    </row>
    <row r="497" spans="16:41" ht="12.75"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  <c r="AK497" s="281"/>
      <c r="AL497" s="281"/>
      <c r="AM497" s="281"/>
      <c r="AN497" s="281"/>
      <c r="AO497" s="281"/>
    </row>
    <row r="498" spans="16:41" ht="12.75"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  <c r="AK498" s="281"/>
      <c r="AL498" s="281"/>
      <c r="AM498" s="281"/>
      <c r="AN498" s="281"/>
      <c r="AO498" s="281"/>
    </row>
    <row r="499" spans="16:41" ht="12.75"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  <c r="AK499" s="281"/>
      <c r="AL499" s="281"/>
      <c r="AM499" s="281"/>
      <c r="AN499" s="281"/>
      <c r="AO499" s="281"/>
    </row>
    <row r="500" spans="16:41" ht="12.75"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  <c r="AK500" s="281"/>
      <c r="AL500" s="281"/>
      <c r="AM500" s="281"/>
      <c r="AN500" s="281"/>
      <c r="AO500" s="281"/>
    </row>
    <row r="501" spans="16:41" ht="12.75"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</row>
    <row r="502" spans="16:41" ht="12.75"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</row>
    <row r="503" spans="16:41" ht="12.75"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</row>
    <row r="504" spans="16:41" ht="12.75"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</row>
    <row r="505" spans="16:41" ht="12.75"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</row>
    <row r="506" spans="16:41" ht="12.75"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</row>
    <row r="507" spans="16:41" ht="12.75"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</row>
    <row r="508" spans="16:41" ht="12.75"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</row>
    <row r="509" spans="16:41" ht="12.75"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</row>
    <row r="510" spans="16:41" ht="12.75"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</row>
    <row r="511" spans="16:41" ht="12.75"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</row>
    <row r="512" spans="16:41" ht="12.75"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</row>
    <row r="513" spans="16:41" ht="12.75"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</row>
    <row r="514" spans="16:41" ht="12.75"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</row>
    <row r="515" spans="16:41" ht="12.75"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</row>
    <row r="516" spans="16:41" ht="12.75"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</row>
    <row r="517" spans="16:41" ht="12.75"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</row>
    <row r="518" spans="16:41" ht="12.75"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</row>
    <row r="519" spans="16:41" ht="12.75"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</row>
    <row r="520" spans="16:41" ht="12.75"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</row>
    <row r="521" spans="16:41" ht="12.75"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</row>
    <row r="522" spans="16:41" ht="12.75"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</row>
    <row r="523" spans="16:41" ht="12.75"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</row>
    <row r="524" spans="16:41" ht="12.75"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</row>
    <row r="525" spans="16:41" ht="12.75"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</row>
    <row r="526" spans="16:41" ht="12.75"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</row>
    <row r="527" spans="16:41" ht="12.75"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</row>
    <row r="528" spans="16:41" ht="12.75"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</row>
    <row r="529" spans="16:41" ht="12.75"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</row>
    <row r="530" spans="16:41" ht="12.75"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</row>
    <row r="531" spans="16:41" ht="12.75"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</row>
    <row r="532" spans="16:41" ht="12.75"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</row>
    <row r="533" spans="16:41" ht="12.75"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</row>
    <row r="534" spans="16:41" ht="12.75"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</row>
    <row r="535" spans="16:41" ht="12.75"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</row>
    <row r="536" spans="16:41" ht="12.75"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</row>
    <row r="537" spans="16:41" ht="12.75"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</row>
    <row r="538" spans="16:41" ht="12.75"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</row>
    <row r="539" spans="16:41" ht="12.75"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</row>
    <row r="540" spans="16:41" ht="12.75"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</row>
    <row r="541" spans="16:41" ht="12.75"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</row>
    <row r="542" spans="16:41" ht="12.75"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</row>
    <row r="543" spans="16:41" ht="12.75"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</row>
    <row r="544" spans="16:41" ht="12.75"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</row>
    <row r="545" spans="16:41" ht="12.75"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</row>
    <row r="546" spans="16:41" ht="12.75"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</row>
    <row r="547" spans="16:41" ht="12.75"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</row>
    <row r="548" spans="16:41" ht="12.75"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</row>
    <row r="549" spans="16:41" ht="12.75"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</row>
    <row r="550" spans="16:41" ht="12.75"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</row>
    <row r="551" spans="16:41" ht="12.75"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</row>
    <row r="552" spans="16:41" ht="12.75"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</row>
    <row r="553" spans="16:41" ht="12.75"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</row>
    <row r="554" spans="16:41" ht="12.75"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</row>
    <row r="555" spans="16:41" ht="12.75"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</row>
    <row r="556" spans="16:41" ht="12.75"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</row>
    <row r="557" spans="16:41" ht="12.75"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</row>
    <row r="558" spans="16:41" ht="12.75"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</row>
    <row r="559" spans="16:41" ht="12.75"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</row>
    <row r="560" spans="16:41" ht="12.75"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</row>
    <row r="561" spans="16:41" ht="12.75"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</row>
    <row r="562" spans="16:41" ht="12.75"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</row>
    <row r="563" spans="16:41" ht="12.75"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</row>
    <row r="564" spans="16:41" ht="12.75"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</row>
    <row r="565" spans="16:41" ht="12.75"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</row>
    <row r="566" spans="16:41" ht="12.75"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</row>
    <row r="567" spans="16:41" ht="12.75"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</row>
    <row r="568" spans="16:41" ht="12.75"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</row>
    <row r="569" spans="16:41" ht="12.75"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</row>
    <row r="570" spans="16:41" ht="12.75"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</row>
    <row r="571" spans="16:41" ht="12.75"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</row>
    <row r="572" spans="16:41" ht="12.75"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</row>
    <row r="573" spans="16:41" ht="12.75"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</row>
    <row r="574" spans="16:41" ht="12.75"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</row>
    <row r="575" spans="16:41" ht="12.75"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</row>
    <row r="576" spans="16:41" ht="12.75"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</row>
    <row r="577" spans="16:41" ht="12.75"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</row>
    <row r="578" spans="16:41" ht="12.75"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</row>
    <row r="579" spans="16:41" ht="12.75"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</row>
    <row r="580" spans="16:41" ht="12.75"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</row>
    <row r="581" spans="16:41" ht="12.75"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</row>
    <row r="582" spans="16:41" ht="12.75"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</row>
    <row r="583" spans="16:41" ht="12.75"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</row>
    <row r="584" spans="16:41" ht="12.75"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</row>
    <row r="585" spans="16:41" ht="12.75"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</row>
    <row r="586" spans="16:41" ht="12.75"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</row>
    <row r="587" spans="16:41" ht="12.75"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</row>
    <row r="588" spans="16:41" ht="12.75"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</row>
    <row r="589" spans="16:41" ht="12.75"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</row>
    <row r="590" spans="16:41" ht="12.75"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</row>
    <row r="591" spans="16:41" ht="12.75"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</row>
    <row r="592" spans="16:41" ht="12.75"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</row>
    <row r="593" spans="16:41" ht="12.75"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</row>
    <row r="594" spans="16:41" ht="12.75"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</row>
    <row r="595" spans="16:41" ht="12.75"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</row>
    <row r="596" spans="16:41" ht="12.75"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</row>
    <row r="597" spans="16:41" ht="12.75"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</row>
    <row r="598" spans="16:41" ht="12.75"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</row>
    <row r="599" spans="16:41" ht="12.75"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</row>
    <row r="600" spans="16:41" ht="12.75"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</row>
    <row r="601" spans="16:41" ht="12.75"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</row>
    <row r="602" spans="16:41" ht="12.75"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</row>
    <row r="603" spans="16:41" ht="12.75"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</row>
    <row r="604" spans="16:41" ht="12.75"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</row>
    <row r="605" spans="16:41" ht="12.75"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</row>
    <row r="606" spans="16:41" ht="12.75"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</row>
    <row r="607" spans="16:41" ht="12.75"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</row>
    <row r="608" spans="16:41" ht="12.75"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</row>
    <row r="609" spans="16:41" ht="12.75"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</row>
    <row r="610" spans="16:41" ht="12.75"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</row>
    <row r="611" spans="16:41" ht="12.75"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</row>
    <row r="612" spans="16:41" ht="12.75"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</row>
    <row r="613" spans="16:41" ht="12.75"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</row>
    <row r="614" spans="16:41" ht="12.75"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</row>
    <row r="615" spans="16:41" ht="12.75"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</row>
    <row r="616" spans="16:41" ht="12.75"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</row>
    <row r="617" spans="16:41" ht="12.75"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</row>
    <row r="618" spans="16:41" ht="12.75"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281"/>
      <c r="AO618" s="281"/>
    </row>
    <row r="619" spans="16:41" ht="12.75"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281"/>
      <c r="AO619" s="281"/>
    </row>
    <row r="620" spans="16:41" ht="12.75"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  <c r="AH620" s="281"/>
      <c r="AI620" s="281"/>
      <c r="AJ620" s="281"/>
      <c r="AK620" s="281"/>
      <c r="AL620" s="281"/>
      <c r="AM620" s="281"/>
      <c r="AN620" s="281"/>
      <c r="AO620" s="281"/>
    </row>
    <row r="621" spans="16:41" ht="12.75"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281"/>
      <c r="AO621" s="281"/>
    </row>
    <row r="622" spans="16:41" ht="12.75"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281"/>
      <c r="AO622" s="281"/>
    </row>
    <row r="623" spans="16:41" ht="12.75"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</row>
    <row r="624" spans="16:41" ht="12.75"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</row>
    <row r="625" spans="16:41" ht="12.75"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</row>
    <row r="626" spans="16:41" ht="12.75"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</row>
    <row r="627" spans="16:41" ht="12.75"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281"/>
      <c r="AO627" s="281"/>
    </row>
    <row r="628" spans="16:41" ht="12.75"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</row>
    <row r="629" spans="16:41" ht="12.75"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</row>
    <row r="630" spans="16:41" ht="12.75"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</row>
    <row r="631" spans="16:41" ht="12.75"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</row>
    <row r="632" spans="16:41" ht="12.75"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281"/>
      <c r="AO632" s="281"/>
    </row>
    <row r="633" spans="16:41" ht="12.75"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281"/>
      <c r="AO633" s="281"/>
    </row>
    <row r="634" spans="16:41" ht="12.75"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281"/>
      <c r="AO634" s="281"/>
    </row>
    <row r="635" spans="16:41" ht="12.75"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281"/>
      <c r="AO635" s="281"/>
    </row>
    <row r="636" spans="16:41" ht="12.75"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1"/>
      <c r="AK636" s="281"/>
      <c r="AL636" s="281"/>
      <c r="AM636" s="281"/>
      <c r="AN636" s="281"/>
      <c r="AO636" s="281"/>
    </row>
    <row r="637" spans="16:41" ht="12.75"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281"/>
      <c r="AO637" s="281"/>
    </row>
    <row r="638" spans="16:41" ht="12.75"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281"/>
      <c r="AO638" s="281"/>
    </row>
    <row r="639" spans="16:41" ht="12.75"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281"/>
      <c r="AO639" s="281"/>
    </row>
    <row r="640" spans="16:41" ht="12.75"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281"/>
      <c r="AO640" s="281"/>
    </row>
    <row r="641" spans="16:41" ht="12.75"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281"/>
      <c r="AO641" s="281"/>
    </row>
    <row r="642" spans="16:41" ht="12.75"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281"/>
      <c r="AO642" s="281"/>
    </row>
    <row r="643" spans="16:41" ht="12.75"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281"/>
      <c r="AO643" s="281"/>
    </row>
    <row r="644" spans="16:41" ht="12.75"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  <c r="AH644" s="281"/>
      <c r="AI644" s="281"/>
      <c r="AJ644" s="281"/>
      <c r="AK644" s="281"/>
      <c r="AL644" s="281"/>
      <c r="AM644" s="281"/>
      <c r="AN644" s="281"/>
      <c r="AO644" s="281"/>
    </row>
    <row r="645" spans="16:41" ht="12.75"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  <c r="AH645" s="281"/>
      <c r="AI645" s="281"/>
      <c r="AJ645" s="281"/>
      <c r="AK645" s="281"/>
      <c r="AL645" s="281"/>
      <c r="AM645" s="281"/>
      <c r="AN645" s="281"/>
      <c r="AO645" s="281"/>
    </row>
    <row r="646" spans="16:41" ht="12.75"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  <c r="AH646" s="281"/>
      <c r="AI646" s="281"/>
      <c r="AJ646" s="281"/>
      <c r="AK646" s="281"/>
      <c r="AL646" s="281"/>
      <c r="AM646" s="281"/>
      <c r="AN646" s="281"/>
      <c r="AO646" s="281"/>
    </row>
    <row r="647" spans="16:41" ht="12.75"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  <c r="AH647" s="281"/>
      <c r="AI647" s="281"/>
      <c r="AJ647" s="281"/>
      <c r="AK647" s="281"/>
      <c r="AL647" s="281"/>
      <c r="AM647" s="281"/>
      <c r="AN647" s="281"/>
      <c r="AO647" s="281"/>
    </row>
    <row r="648" spans="16:41" ht="12.75"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  <c r="AH648" s="281"/>
      <c r="AI648" s="281"/>
      <c r="AJ648" s="281"/>
      <c r="AK648" s="281"/>
      <c r="AL648" s="281"/>
      <c r="AM648" s="281"/>
      <c r="AN648" s="281"/>
      <c r="AO648" s="281"/>
    </row>
    <row r="649" spans="16:41" ht="12.75"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  <c r="AH649" s="281"/>
      <c r="AI649" s="281"/>
      <c r="AJ649" s="281"/>
      <c r="AK649" s="281"/>
      <c r="AL649" s="281"/>
      <c r="AM649" s="281"/>
      <c r="AN649" s="281"/>
      <c r="AO649" s="281"/>
    </row>
    <row r="650" spans="16:41" ht="12.75"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  <c r="AH650" s="281"/>
      <c r="AI650" s="281"/>
      <c r="AJ650" s="281"/>
      <c r="AK650" s="281"/>
      <c r="AL650" s="281"/>
      <c r="AM650" s="281"/>
      <c r="AN650" s="281"/>
      <c r="AO650" s="281"/>
    </row>
    <row r="651" spans="16:41" ht="12.75"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  <c r="AH651" s="281"/>
      <c r="AI651" s="281"/>
      <c r="AJ651" s="281"/>
      <c r="AK651" s="281"/>
      <c r="AL651" s="281"/>
      <c r="AM651" s="281"/>
      <c r="AN651" s="281"/>
      <c r="AO651" s="281"/>
    </row>
    <row r="652" spans="16:41" ht="12.75"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  <c r="AH652" s="281"/>
      <c r="AI652" s="281"/>
      <c r="AJ652" s="281"/>
      <c r="AK652" s="281"/>
      <c r="AL652" s="281"/>
      <c r="AM652" s="281"/>
      <c r="AN652" s="281"/>
      <c r="AO652" s="281"/>
    </row>
    <row r="653" spans="16:41" ht="12.75"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281"/>
      <c r="AO653" s="281"/>
    </row>
    <row r="654" spans="16:41" ht="12.75"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281"/>
      <c r="AO654" s="281"/>
    </row>
    <row r="655" spans="16:41" ht="12.75"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281"/>
      <c r="AO655" s="281"/>
    </row>
    <row r="656" spans="16:41" ht="12.75"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  <c r="AH656" s="281"/>
      <c r="AI656" s="281"/>
      <c r="AJ656" s="281"/>
      <c r="AK656" s="281"/>
      <c r="AL656" s="281"/>
      <c r="AM656" s="281"/>
      <c r="AN656" s="281"/>
      <c r="AO656" s="281"/>
    </row>
    <row r="657" spans="16:41" ht="12.75"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  <c r="AH657" s="281"/>
      <c r="AI657" s="281"/>
      <c r="AJ657" s="281"/>
      <c r="AK657" s="281"/>
      <c r="AL657" s="281"/>
      <c r="AM657" s="281"/>
      <c r="AN657" s="281"/>
      <c r="AO657" s="281"/>
    </row>
    <row r="658" spans="16:41" ht="12.75"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  <c r="AH658" s="281"/>
      <c r="AI658" s="281"/>
      <c r="AJ658" s="281"/>
      <c r="AK658" s="281"/>
      <c r="AL658" s="281"/>
      <c r="AM658" s="281"/>
      <c r="AN658" s="281"/>
      <c r="AO658" s="281"/>
    </row>
    <row r="659" spans="16:41" ht="12.75"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281"/>
      <c r="AO659" s="281"/>
    </row>
    <row r="660" spans="16:41" ht="12.75"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  <c r="AH660" s="281"/>
      <c r="AI660" s="281"/>
      <c r="AJ660" s="281"/>
      <c r="AK660" s="281"/>
      <c r="AL660" s="281"/>
      <c r="AM660" s="281"/>
      <c r="AN660" s="281"/>
      <c r="AO660" s="281"/>
    </row>
    <row r="661" spans="16:41" ht="12.75"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  <c r="AH661" s="281"/>
      <c r="AI661" s="281"/>
      <c r="AJ661" s="281"/>
      <c r="AK661" s="281"/>
      <c r="AL661" s="281"/>
      <c r="AM661" s="281"/>
      <c r="AN661" s="281"/>
      <c r="AO661" s="281"/>
    </row>
    <row r="662" spans="16:41" ht="12.75"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  <c r="AH662" s="281"/>
      <c r="AI662" s="281"/>
      <c r="AJ662" s="281"/>
      <c r="AK662" s="281"/>
      <c r="AL662" s="281"/>
      <c r="AM662" s="281"/>
      <c r="AN662" s="281"/>
      <c r="AO662" s="281"/>
    </row>
    <row r="663" spans="16:41" ht="12.75"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  <c r="AH663" s="281"/>
      <c r="AI663" s="281"/>
      <c r="AJ663" s="281"/>
      <c r="AK663" s="281"/>
      <c r="AL663" s="281"/>
      <c r="AM663" s="281"/>
      <c r="AN663" s="281"/>
      <c r="AO663" s="281"/>
    </row>
    <row r="664" spans="16:41" ht="12.75"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  <c r="AH664" s="281"/>
      <c r="AI664" s="281"/>
      <c r="AJ664" s="281"/>
      <c r="AK664" s="281"/>
      <c r="AL664" s="281"/>
      <c r="AM664" s="281"/>
      <c r="AN664" s="281"/>
      <c r="AO664" s="281"/>
    </row>
    <row r="665" spans="16:41" ht="12.75"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  <c r="AH665" s="281"/>
      <c r="AI665" s="281"/>
      <c r="AJ665" s="281"/>
      <c r="AK665" s="281"/>
      <c r="AL665" s="281"/>
      <c r="AM665" s="281"/>
      <c r="AN665" s="281"/>
      <c r="AO665" s="281"/>
    </row>
    <row r="666" spans="16:41" ht="12.75"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  <c r="AH666" s="281"/>
      <c r="AI666" s="281"/>
      <c r="AJ666" s="281"/>
      <c r="AK666" s="281"/>
      <c r="AL666" s="281"/>
      <c r="AM666" s="281"/>
      <c r="AN666" s="281"/>
      <c r="AO666" s="281"/>
    </row>
    <row r="667" spans="16:41" ht="12.75"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  <c r="AH667" s="281"/>
      <c r="AI667" s="281"/>
      <c r="AJ667" s="281"/>
      <c r="AK667" s="281"/>
      <c r="AL667" s="281"/>
      <c r="AM667" s="281"/>
      <c r="AN667" s="281"/>
      <c r="AO667" s="281"/>
    </row>
    <row r="668" spans="16:41" ht="12.75"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  <c r="AH668" s="281"/>
      <c r="AI668" s="281"/>
      <c r="AJ668" s="281"/>
      <c r="AK668" s="281"/>
      <c r="AL668" s="281"/>
      <c r="AM668" s="281"/>
      <c r="AN668" s="281"/>
      <c r="AO668" s="281"/>
    </row>
    <row r="669" spans="16:41" ht="12.75"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  <c r="AH669" s="281"/>
      <c r="AI669" s="281"/>
      <c r="AJ669" s="281"/>
      <c r="AK669" s="281"/>
      <c r="AL669" s="281"/>
      <c r="AM669" s="281"/>
      <c r="AN669" s="281"/>
      <c r="AO669" s="281"/>
    </row>
    <row r="670" spans="16:41" ht="12.75"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  <c r="AH670" s="281"/>
      <c r="AI670" s="281"/>
      <c r="AJ670" s="281"/>
      <c r="AK670" s="281"/>
      <c r="AL670" s="281"/>
      <c r="AM670" s="281"/>
      <c r="AN670" s="281"/>
      <c r="AO670" s="281"/>
    </row>
    <row r="671" spans="16:41" ht="12.75"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  <c r="AH671" s="281"/>
      <c r="AI671" s="281"/>
      <c r="AJ671" s="281"/>
      <c r="AK671" s="281"/>
      <c r="AL671" s="281"/>
      <c r="AM671" s="281"/>
      <c r="AN671" s="281"/>
      <c r="AO671" s="281"/>
    </row>
    <row r="672" spans="16:41" ht="12.75"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  <c r="AH672" s="281"/>
      <c r="AI672" s="281"/>
      <c r="AJ672" s="281"/>
      <c r="AK672" s="281"/>
      <c r="AL672" s="281"/>
      <c r="AM672" s="281"/>
      <c r="AN672" s="281"/>
      <c r="AO672" s="281"/>
    </row>
  </sheetData>
  <sheetProtection password="FDAA" sheet="1" objects="1" scenarios="1"/>
  <mergeCells count="91">
    <mergeCell ref="B7:E7"/>
    <mergeCell ref="F7:G7"/>
    <mergeCell ref="B4:E4"/>
    <mergeCell ref="F4:G4"/>
    <mergeCell ref="B5:E5"/>
    <mergeCell ref="F5:G5"/>
    <mergeCell ref="B8:E8"/>
    <mergeCell ref="F8:G8"/>
    <mergeCell ref="B9:E9"/>
    <mergeCell ref="F9:G9"/>
    <mergeCell ref="F12:G12"/>
    <mergeCell ref="B13:E13"/>
    <mergeCell ref="F13:G13"/>
    <mergeCell ref="B10:E10"/>
    <mergeCell ref="F10:G10"/>
    <mergeCell ref="B11:E11"/>
    <mergeCell ref="F11:G11"/>
    <mergeCell ref="F42:G42"/>
    <mergeCell ref="B16:E16"/>
    <mergeCell ref="F16:G16"/>
    <mergeCell ref="B6:E6"/>
    <mergeCell ref="F6:G6"/>
    <mergeCell ref="B14:E14"/>
    <mergeCell ref="F14:G14"/>
    <mergeCell ref="B15:E15"/>
    <mergeCell ref="F15:G15"/>
    <mergeCell ref="B12:E12"/>
    <mergeCell ref="F19:G19"/>
    <mergeCell ref="B22:E22"/>
    <mergeCell ref="F22:G22"/>
    <mergeCell ref="B48:E48"/>
    <mergeCell ref="F48:G48"/>
    <mergeCell ref="B44:E44"/>
    <mergeCell ref="F44:G44"/>
    <mergeCell ref="B41:E41"/>
    <mergeCell ref="F41:G41"/>
    <mergeCell ref="B42:E42"/>
    <mergeCell ref="F29:G29"/>
    <mergeCell ref="B21:E21"/>
    <mergeCell ref="F21:G21"/>
    <mergeCell ref="B17:E17"/>
    <mergeCell ref="F17:G17"/>
    <mergeCell ref="B20:E20"/>
    <mergeCell ref="F20:G20"/>
    <mergeCell ref="B18:E18"/>
    <mergeCell ref="F18:G18"/>
    <mergeCell ref="B19:E19"/>
    <mergeCell ref="F50:G50"/>
    <mergeCell ref="B43:E43"/>
    <mergeCell ref="B24:E24"/>
    <mergeCell ref="F24:G24"/>
    <mergeCell ref="F30:G30"/>
    <mergeCell ref="F36:G36"/>
    <mergeCell ref="B31:D38"/>
    <mergeCell ref="E31:E34"/>
    <mergeCell ref="E35:E38"/>
    <mergeCell ref="F35:G35"/>
    <mergeCell ref="B52:E52"/>
    <mergeCell ref="F47:G47"/>
    <mergeCell ref="F52:G52"/>
    <mergeCell ref="B39:E39"/>
    <mergeCell ref="F39:G39"/>
    <mergeCell ref="B40:E40"/>
    <mergeCell ref="F40:G40"/>
    <mergeCell ref="B49:E49"/>
    <mergeCell ref="F49:G49"/>
    <mergeCell ref="B50:E50"/>
    <mergeCell ref="F37:G37"/>
    <mergeCell ref="F38:G38"/>
    <mergeCell ref="B53:E53"/>
    <mergeCell ref="F53:G53"/>
    <mergeCell ref="B45:E45"/>
    <mergeCell ref="F45:G45"/>
    <mergeCell ref="B46:E46"/>
    <mergeCell ref="F46:G46"/>
    <mergeCell ref="B51:E51"/>
    <mergeCell ref="F51:G51"/>
    <mergeCell ref="F31:G31"/>
    <mergeCell ref="F32:G32"/>
    <mergeCell ref="F33:G33"/>
    <mergeCell ref="F34:G34"/>
    <mergeCell ref="B23:E23"/>
    <mergeCell ref="F23:G23"/>
    <mergeCell ref="B47:E47"/>
    <mergeCell ref="B25:E26"/>
    <mergeCell ref="F25:G25"/>
    <mergeCell ref="F26:G26"/>
    <mergeCell ref="B27:E30"/>
    <mergeCell ref="F27:G27"/>
    <mergeCell ref="F28:G28"/>
    <mergeCell ref="F43:G43"/>
  </mergeCells>
  <conditionalFormatting sqref="F43:G46">
    <cfRule type="expression" priority="1" dxfId="11" stopIfTrue="1">
      <formula>AND(LEN(F43)&gt;0,F39=F43)</formula>
    </cfRule>
  </conditionalFormatting>
  <conditionalFormatting sqref="F26:G26">
    <cfRule type="expression" priority="2" dxfId="11" stopIfTrue="1">
      <formula>AND(LEN(F26)&gt;0,F25=F26)</formula>
    </cfRule>
  </conditionalFormatting>
  <conditionalFormatting sqref="F28:G30">
    <cfRule type="expression" priority="3" dxfId="11" stopIfTrue="1">
      <formula>AND(LEN(F28)&gt;0,COUNTIF($F$27:$F28,"="&amp;F28)&gt;1)</formula>
    </cfRule>
  </conditionalFormatting>
  <conditionalFormatting sqref="F35:G38">
    <cfRule type="expression" priority="4" dxfId="11" stopIfTrue="1">
      <formula>AND(LEN($F35)&gt;0,$F35=$F31)</formula>
    </cfRule>
  </conditionalFormatting>
  <conditionalFormatting sqref="F24:G24">
    <cfRule type="expression" priority="5" dxfId="11" stopIfTrue="1">
      <formula>AND(LEN(F24)&gt;0,F23=F24)</formula>
    </cfRule>
  </conditionalFormatting>
  <dataValidations count="8">
    <dataValidation type="list" allowBlank="1" showInputMessage="1" showErrorMessage="1" errorTitle="Fehler" error="Bitte einen Eintrag aus der Liste wählen!" sqref="F52:G53">
      <formula1>$S$3:$S$8</formula1>
    </dataValidation>
    <dataValidation type="list" allowBlank="1" showInputMessage="1" showErrorMessage="1" errorTitle="Fehler" error="Bitte einen Eintrag aus der Liste wählen!" sqref="F23:G30 F6:G6 F47:G51">
      <formula1>$Q$3:$Q$20</formula1>
    </dataValidation>
    <dataValidation type="list" allowBlank="1" showInputMessage="1" showErrorMessage="1" errorTitle="Fehler" error="Bitte einen Eintrag aus der Liste wählen!" sqref="F42:G42 F46:G46 F34:G34 F38:G38">
      <formula1>$Z$3:$Z$8</formula1>
    </dataValidation>
    <dataValidation type="list" allowBlank="1" showInputMessage="1" showErrorMessage="1" errorTitle="Fehler" error="Bitte einen Eintrag aus der Liste wählen!" sqref="F45:G45 F33:G33 F41:G41 F37:G37">
      <formula1>$Y$3:$Y$8</formula1>
    </dataValidation>
    <dataValidation type="list" allowBlank="1" showInputMessage="1" showErrorMessage="1" errorTitle="Fehler" error="Bitte einen Eintrag aus der Liste wählen!" sqref="F44:G44 F32:G32 F40:G40 F36:G36">
      <formula1>$X$3:$X$8</formula1>
    </dataValidation>
    <dataValidation type="list" allowBlank="1" showInputMessage="1" showErrorMessage="1" errorTitle="Fehler" error="Bitte einen Eintrag aus der Liste wählen!" sqref="F43:G43 F39:G39 F31:G31 F35:G35">
      <formula1>$W$3:$W$8</formula1>
    </dataValidation>
    <dataValidation errorStyle="information" type="list" allowBlank="1" showErrorMessage="1" errorTitle="ACHTUNG" error="Der Spieler sollte aus der Liste der Spieler gewählt werden. &#10;Bei eine abweichenden Schreibweise oder wenn unbekannte Spieler eingegeben werden, kann keine korrekte Auswertung des Tipps erfolgen!" sqref="F5:G5">
      <formula1>OFFSET($U$3,0,0,$U$2,1)</formula1>
    </dataValidation>
    <dataValidation type="list" allowBlank="1" showInputMessage="1" showErrorMessage="1" errorTitle="Fehler" error="Bitte einen Eintrag aus der Liste wählen!" sqref="F7:G22">
      <formula1>$R$3:$R$8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kein Name</dc:creator>
  <cp:keywords/>
  <dc:description/>
  <cp:lastModifiedBy>DZ</cp:lastModifiedBy>
  <cp:lastPrinted>2008-02-12T15:22:14Z</cp:lastPrinted>
  <dcterms:created xsi:type="dcterms:W3CDTF">2007-10-02T12:29:58Z</dcterms:created>
  <dcterms:modified xsi:type="dcterms:W3CDTF">2008-05-29T17:07:16Z</dcterms:modified>
  <cp:category/>
  <cp:version/>
  <cp:contentType/>
  <cp:contentStatus/>
</cp:coreProperties>
</file>